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giemailusu-my.sharepoint.com/personal/jairus_anderson_aggiemail_usu_edu/Documents/Fall 2020/Water Resources System Analysis/Semester Project/"/>
    </mc:Choice>
  </mc:AlternateContent>
  <xr:revisionPtr revIDLastSave="108" documentId="8_{ECCD9D80-43B5-4FB7-AB64-68429613C577}" xr6:coauthVersionLast="36" xr6:coauthVersionMax="45" xr10:uidLastSave="{9EBF3E52-7A0B-4778-A90A-7B632635EDCE}"/>
  <bookViews>
    <workbookView xWindow="-105" yWindow="-105" windowWidth="22695" windowHeight="14595" firstSheet="1" activeTab="1" xr2:uid="{00000000-000D-0000-FFFF-FFFF00000000}"/>
  </bookViews>
  <sheets>
    <sheet name="Full" sheetId="2" r:id="rId1"/>
    <sheet name="2016" sheetId="4" r:id="rId2"/>
    <sheet name="2017" sheetId="5" r:id="rId3"/>
    <sheet name="2018" sheetId="6" r:id="rId4"/>
    <sheet name="2019" sheetId="7" r:id="rId5"/>
    <sheet name="OLD" sheetId="1" r:id="rId6"/>
    <sheet name="Hours" sheetId="8" r:id="rId7"/>
  </sheets>
  <definedNames>
    <definedName name="_xlchart.v1.0" hidden="1">OLD!$D$6:$D$17</definedName>
    <definedName name="_xlchart.v1.1" hidden="1">OLD!$E$6:$E$17</definedName>
    <definedName name="_xlchart.v1.10" hidden="1">OLD!$X$6:$X$17</definedName>
    <definedName name="_xlchart.v1.11" hidden="1">OLD!$Y$6:$Y$17</definedName>
    <definedName name="_xlchart.v1.2" hidden="1">OLD!$F$6:$F$17</definedName>
    <definedName name="_xlchart.v1.3" hidden="1">OLD!$D$6:$D$17</definedName>
    <definedName name="_xlchart.v1.4" hidden="1">OLD!$R$6:$R$17</definedName>
    <definedName name="_xlchart.v1.5" hidden="1">OLD!$S$6:$S$17</definedName>
    <definedName name="_xlchart.v1.6" hidden="1">OLD!$D$6:$D$17</definedName>
    <definedName name="_xlchart.v1.7" hidden="1">OLD!$L$6:$L$17</definedName>
    <definedName name="_xlchart.v1.8" hidden="1">OLD!$M$6:$M$17</definedName>
    <definedName name="_xlchart.v1.9" hidden="1">OLD!$D$6:$D$17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9" i="4" l="1"/>
  <c r="AC20" i="4"/>
  <c r="AC21" i="4"/>
  <c r="AC22" i="4"/>
  <c r="AC23" i="4"/>
  <c r="AC24" i="4"/>
  <c r="AC25" i="4"/>
  <c r="AC26" i="4"/>
  <c r="AC27" i="4"/>
  <c r="AC28" i="4"/>
  <c r="AC29" i="4"/>
  <c r="AC18" i="4"/>
  <c r="AB19" i="4"/>
  <c r="AB20" i="4"/>
  <c r="AB21" i="4"/>
  <c r="AB22" i="4"/>
  <c r="AB23" i="4"/>
  <c r="AB24" i="4"/>
  <c r="AB25" i="4"/>
  <c r="AB26" i="4"/>
  <c r="AB27" i="4"/>
  <c r="AB28" i="4"/>
  <c r="AB29" i="4"/>
  <c r="AB18" i="4"/>
  <c r="AH32" i="2"/>
  <c r="N5" i="4"/>
  <c r="AH33" i="2"/>
  <c r="AH34" i="2"/>
  <c r="AH35" i="2"/>
  <c r="AH36" i="2"/>
  <c r="AH37" i="2"/>
  <c r="AH38" i="2"/>
  <c r="AH39" i="2"/>
  <c r="AH40" i="2"/>
  <c r="AH41" i="2"/>
  <c r="AH42" i="2"/>
  <c r="AH43" i="2"/>
  <c r="T137" i="4" l="1"/>
  <c r="S19" i="4"/>
  <c r="G19" i="4" l="1"/>
  <c r="M41" i="4"/>
  <c r="L41" i="4"/>
  <c r="L37" i="4"/>
  <c r="L34" i="4"/>
  <c r="V17" i="4"/>
  <c r="AG17" i="2" l="1"/>
  <c r="AG16" i="2"/>
  <c r="AG15" i="2"/>
  <c r="AG14" i="2"/>
  <c r="AG13" i="2"/>
  <c r="AG12" i="2"/>
  <c r="AG11" i="2"/>
  <c r="AG10" i="2"/>
  <c r="AG9" i="2"/>
  <c r="AG8" i="2"/>
  <c r="AG7" i="2"/>
  <c r="AG18" i="2" s="1"/>
  <c r="AG6" i="2"/>
  <c r="Z17" i="2"/>
  <c r="Z16" i="2"/>
  <c r="Z15" i="2"/>
  <c r="Z14" i="2"/>
  <c r="Z13" i="2"/>
  <c r="Z12" i="2"/>
  <c r="Z11" i="2"/>
  <c r="Z10" i="2"/>
  <c r="Z9" i="2"/>
  <c r="Z18" i="2" s="1"/>
  <c r="Z8" i="2"/>
  <c r="Z7" i="2"/>
  <c r="Z6" i="2"/>
  <c r="AH18" i="2"/>
  <c r="AE18" i="2"/>
  <c r="AC18" i="2"/>
  <c r="AB18" i="2"/>
  <c r="AA18" i="2"/>
  <c r="X18" i="2"/>
  <c r="V18" i="2"/>
  <c r="U18" i="2"/>
  <c r="T18" i="2"/>
  <c r="S18" i="2"/>
  <c r="Q18" i="2"/>
  <c r="O18" i="2"/>
  <c r="N18" i="2"/>
  <c r="K18" i="2"/>
  <c r="J18" i="2"/>
  <c r="S17" i="2"/>
  <c r="S16" i="2"/>
  <c r="S15" i="2"/>
  <c r="S14" i="2"/>
  <c r="S13" i="2"/>
  <c r="S12" i="2"/>
  <c r="S11" i="2"/>
  <c r="S10" i="2"/>
  <c r="S9" i="2"/>
  <c r="S8" i="2"/>
  <c r="S7" i="2"/>
  <c r="S6" i="2"/>
  <c r="J7" i="2"/>
  <c r="J8" i="2"/>
  <c r="J9" i="2"/>
  <c r="J10" i="2"/>
  <c r="J11" i="2"/>
  <c r="J12" i="2"/>
  <c r="J13" i="2"/>
  <c r="J14" i="2"/>
  <c r="J15" i="2"/>
  <c r="J16" i="2"/>
  <c r="J17" i="2"/>
  <c r="J6" i="2"/>
  <c r="F18" i="2"/>
  <c r="AF6" i="4"/>
  <c r="AF7" i="4"/>
  <c r="AF8" i="4"/>
  <c r="AF9" i="4"/>
  <c r="AF10" i="4"/>
  <c r="AF11" i="4"/>
  <c r="AF12" i="4"/>
  <c r="AF13" i="4"/>
  <c r="AF14" i="4"/>
  <c r="AF15" i="4"/>
  <c r="AF16" i="4"/>
  <c r="AF5" i="4"/>
  <c r="AE6" i="4"/>
  <c r="AE7" i="4"/>
  <c r="AE8" i="4"/>
  <c r="AE9" i="4"/>
  <c r="AE10" i="4"/>
  <c r="AE11" i="4"/>
  <c r="AE12" i="4"/>
  <c r="AE13" i="4"/>
  <c r="AE14" i="4"/>
  <c r="AE15" i="4"/>
  <c r="AE16" i="4"/>
  <c r="AE5" i="4"/>
  <c r="AD6" i="4"/>
  <c r="AD7" i="4"/>
  <c r="AD8" i="4"/>
  <c r="AD9" i="4"/>
  <c r="AD10" i="4"/>
  <c r="AD11" i="4"/>
  <c r="AD12" i="4"/>
  <c r="AD13" i="4"/>
  <c r="AD14" i="4"/>
  <c r="AD15" i="4"/>
  <c r="AD16" i="4"/>
  <c r="AD5" i="4"/>
  <c r="H18" i="2"/>
  <c r="E34" i="7"/>
  <c r="G34" i="7" s="1"/>
  <c r="E33" i="7"/>
  <c r="E32" i="7"/>
  <c r="E31" i="7"/>
  <c r="J31" i="7" s="1"/>
  <c r="E30" i="7"/>
  <c r="E29" i="7"/>
  <c r="E28" i="7"/>
  <c r="G28" i="7" s="1"/>
  <c r="E27" i="7"/>
  <c r="G27" i="7" s="1"/>
  <c r="E26" i="7"/>
  <c r="J26" i="7" s="1"/>
  <c r="E25" i="7"/>
  <c r="E24" i="7"/>
  <c r="E23" i="7"/>
  <c r="G23" i="7" s="1"/>
  <c r="M36" i="7"/>
  <c r="R35" i="7"/>
  <c r="Q35" i="7"/>
  <c r="K35" i="7"/>
  <c r="M35" i="7" s="1"/>
  <c r="F35" i="7"/>
  <c r="AB34" i="7"/>
  <c r="U34" i="7"/>
  <c r="W34" i="7" s="1"/>
  <c r="X34" i="7" s="1"/>
  <c r="M34" i="7"/>
  <c r="J34" i="7"/>
  <c r="B34" i="7"/>
  <c r="AB33" i="7"/>
  <c r="U33" i="7"/>
  <c r="V33" i="7" s="1"/>
  <c r="M33" i="7"/>
  <c r="G33" i="7"/>
  <c r="I33" i="7" s="1"/>
  <c r="J33" i="7"/>
  <c r="B33" i="7"/>
  <c r="N33" i="7" s="1"/>
  <c r="O33" i="7" s="1"/>
  <c r="P33" i="7" s="1"/>
  <c r="AB32" i="7"/>
  <c r="U32" i="7"/>
  <c r="W32" i="7" s="1"/>
  <c r="X32" i="7" s="1"/>
  <c r="M32" i="7"/>
  <c r="G32" i="7"/>
  <c r="B32" i="7"/>
  <c r="N32" i="7" s="1"/>
  <c r="O32" i="7" s="1"/>
  <c r="P32" i="7" s="1"/>
  <c r="AB31" i="7"/>
  <c r="U31" i="7"/>
  <c r="W31" i="7" s="1"/>
  <c r="X31" i="7" s="1"/>
  <c r="M31" i="7"/>
  <c r="B31" i="7"/>
  <c r="N31" i="7" s="1"/>
  <c r="O31" i="7" s="1"/>
  <c r="P31" i="7" s="1"/>
  <c r="AB30" i="7"/>
  <c r="U30" i="7"/>
  <c r="W30" i="7" s="1"/>
  <c r="X30" i="7" s="1"/>
  <c r="N30" i="7"/>
  <c r="O30" i="7" s="1"/>
  <c r="P30" i="7" s="1"/>
  <c r="M30" i="7"/>
  <c r="J30" i="7"/>
  <c r="B30" i="7"/>
  <c r="AB29" i="7"/>
  <c r="N29" i="7" s="1"/>
  <c r="O29" i="7" s="1"/>
  <c r="P29" i="7" s="1"/>
  <c r="U29" i="7"/>
  <c r="V29" i="7" s="1"/>
  <c r="M29" i="7"/>
  <c r="J29" i="7"/>
  <c r="G29" i="7"/>
  <c r="B29" i="7"/>
  <c r="AB28" i="7"/>
  <c r="N28" i="7" s="1"/>
  <c r="O28" i="7" s="1"/>
  <c r="P28" i="7" s="1"/>
  <c r="U28" i="7"/>
  <c r="V28" i="7" s="1"/>
  <c r="M28" i="7"/>
  <c r="J28" i="7"/>
  <c r="B28" i="7"/>
  <c r="AB27" i="7"/>
  <c r="N27" i="7" s="1"/>
  <c r="O27" i="7" s="1"/>
  <c r="P27" i="7" s="1"/>
  <c r="U27" i="7"/>
  <c r="W27" i="7" s="1"/>
  <c r="X27" i="7" s="1"/>
  <c r="M27" i="7"/>
  <c r="J27" i="7"/>
  <c r="B27" i="7"/>
  <c r="AB26" i="7"/>
  <c r="U26" i="7"/>
  <c r="W26" i="7" s="1"/>
  <c r="X26" i="7" s="1"/>
  <c r="M26" i="7"/>
  <c r="B26" i="7"/>
  <c r="AB25" i="7"/>
  <c r="U25" i="7"/>
  <c r="W25" i="7" s="1"/>
  <c r="X25" i="7" s="1"/>
  <c r="M25" i="7"/>
  <c r="G25" i="7"/>
  <c r="I25" i="7" s="1"/>
  <c r="J25" i="7"/>
  <c r="B25" i="7"/>
  <c r="AB24" i="7"/>
  <c r="U24" i="7"/>
  <c r="V24" i="7" s="1"/>
  <c r="M24" i="7"/>
  <c r="J24" i="7"/>
  <c r="B24" i="7"/>
  <c r="N24" i="7" s="1"/>
  <c r="AB23" i="7"/>
  <c r="U23" i="7"/>
  <c r="W23" i="7" s="1"/>
  <c r="X23" i="7" s="1"/>
  <c r="J23" i="7"/>
  <c r="B23" i="7"/>
  <c r="E41" i="6"/>
  <c r="J41" i="6" s="1"/>
  <c r="E40" i="6"/>
  <c r="J40" i="6" s="1"/>
  <c r="E39" i="6"/>
  <c r="E38" i="6"/>
  <c r="E37" i="6"/>
  <c r="E36" i="6"/>
  <c r="J36" i="6" s="1"/>
  <c r="E35" i="6"/>
  <c r="E34" i="6"/>
  <c r="E33" i="6"/>
  <c r="G33" i="6" s="1"/>
  <c r="E32" i="6"/>
  <c r="G32" i="6" s="1"/>
  <c r="E31" i="6"/>
  <c r="E30" i="6"/>
  <c r="M43" i="6"/>
  <c r="R42" i="6"/>
  <c r="Q42" i="6"/>
  <c r="M42" i="6"/>
  <c r="K42" i="6"/>
  <c r="F42" i="6"/>
  <c r="AB41" i="6"/>
  <c r="U41" i="6"/>
  <c r="W41" i="6" s="1"/>
  <c r="X41" i="6" s="1"/>
  <c r="M41" i="6"/>
  <c r="B41" i="6"/>
  <c r="AB40" i="6"/>
  <c r="U40" i="6"/>
  <c r="W40" i="6" s="1"/>
  <c r="X40" i="6" s="1"/>
  <c r="M40" i="6"/>
  <c r="B40" i="6"/>
  <c r="N40" i="6" s="1"/>
  <c r="O40" i="6" s="1"/>
  <c r="P40" i="6" s="1"/>
  <c r="AB39" i="6"/>
  <c r="U39" i="6"/>
  <c r="W39" i="6" s="1"/>
  <c r="X39" i="6" s="1"/>
  <c r="N39" i="6"/>
  <c r="O39" i="6" s="1"/>
  <c r="P39" i="6" s="1"/>
  <c r="M39" i="6"/>
  <c r="J39" i="6"/>
  <c r="B39" i="6"/>
  <c r="AB38" i="6"/>
  <c r="U38" i="6"/>
  <c r="W38" i="6" s="1"/>
  <c r="X38" i="6" s="1"/>
  <c r="M38" i="6"/>
  <c r="J38" i="6"/>
  <c r="B38" i="6"/>
  <c r="AB37" i="6"/>
  <c r="W37" i="6"/>
  <c r="X37" i="6" s="1"/>
  <c r="U37" i="6"/>
  <c r="V37" i="6" s="1"/>
  <c r="M37" i="6"/>
  <c r="J37" i="6"/>
  <c r="G37" i="6"/>
  <c r="B37" i="6"/>
  <c r="AB36" i="6"/>
  <c r="N36" i="6" s="1"/>
  <c r="O36" i="6" s="1"/>
  <c r="P36" i="6" s="1"/>
  <c r="W36" i="6"/>
  <c r="X36" i="6" s="1"/>
  <c r="V36" i="6"/>
  <c r="U36" i="6"/>
  <c r="M36" i="6"/>
  <c r="G36" i="6"/>
  <c r="B36" i="6"/>
  <c r="AB35" i="6"/>
  <c r="U35" i="6"/>
  <c r="V35" i="6" s="1"/>
  <c r="M35" i="6"/>
  <c r="J35" i="6"/>
  <c r="G35" i="6"/>
  <c r="H35" i="6" s="1"/>
  <c r="B35" i="6"/>
  <c r="AB34" i="6"/>
  <c r="N34" i="6" s="1"/>
  <c r="O34" i="6" s="1"/>
  <c r="P34" i="6" s="1"/>
  <c r="U34" i="6"/>
  <c r="W34" i="6" s="1"/>
  <c r="X34" i="6" s="1"/>
  <c r="M34" i="6"/>
  <c r="J34" i="6"/>
  <c r="G34" i="6"/>
  <c r="I34" i="6" s="1"/>
  <c r="B34" i="6"/>
  <c r="AB33" i="6"/>
  <c r="N33" i="6" s="1"/>
  <c r="O33" i="6" s="1"/>
  <c r="P33" i="6" s="1"/>
  <c r="U33" i="6"/>
  <c r="W33" i="6" s="1"/>
  <c r="X33" i="6" s="1"/>
  <c r="M33" i="6"/>
  <c r="B33" i="6"/>
  <c r="AB32" i="6"/>
  <c r="U32" i="6"/>
  <c r="W32" i="6" s="1"/>
  <c r="X32" i="6" s="1"/>
  <c r="M32" i="6"/>
  <c r="B32" i="6"/>
  <c r="N32" i="6" s="1"/>
  <c r="O32" i="6" s="1"/>
  <c r="P32" i="6" s="1"/>
  <c r="AB31" i="6"/>
  <c r="U31" i="6"/>
  <c r="W31" i="6" s="1"/>
  <c r="X31" i="6" s="1"/>
  <c r="N31" i="6"/>
  <c r="O31" i="6" s="1"/>
  <c r="P31" i="6" s="1"/>
  <c r="M31" i="6"/>
  <c r="M44" i="6" s="1"/>
  <c r="J31" i="6"/>
  <c r="B31" i="6"/>
  <c r="AB30" i="6"/>
  <c r="U30" i="6"/>
  <c r="W30" i="6" s="1"/>
  <c r="X30" i="6" s="1"/>
  <c r="E42" i="6"/>
  <c r="B30" i="6"/>
  <c r="V27" i="7" l="1"/>
  <c r="W28" i="7"/>
  <c r="X28" i="7" s="1"/>
  <c r="W29" i="7"/>
  <c r="X29" i="7" s="1"/>
  <c r="V26" i="7"/>
  <c r="V34" i="7"/>
  <c r="M37" i="7"/>
  <c r="N26" i="7"/>
  <c r="O26" i="7" s="1"/>
  <c r="P26" i="7" s="1"/>
  <c r="N25" i="7"/>
  <c r="O25" i="7" s="1"/>
  <c r="P25" i="7" s="1"/>
  <c r="N34" i="7"/>
  <c r="O34" i="7" s="1"/>
  <c r="P34" i="7" s="1"/>
  <c r="I27" i="7"/>
  <c r="H27" i="7"/>
  <c r="H34" i="7"/>
  <c r="I34" i="7"/>
  <c r="G26" i="7"/>
  <c r="O24" i="7"/>
  <c r="P24" i="7" s="1"/>
  <c r="I29" i="7"/>
  <c r="H29" i="7"/>
  <c r="I28" i="7"/>
  <c r="H28" i="7"/>
  <c r="H32" i="7"/>
  <c r="I32" i="7"/>
  <c r="H25" i="7"/>
  <c r="H33" i="7"/>
  <c r="V32" i="7"/>
  <c r="W33" i="7"/>
  <c r="X33" i="7" s="1"/>
  <c r="V23" i="7"/>
  <c r="W24" i="7"/>
  <c r="X24" i="7" s="1"/>
  <c r="G30" i="7"/>
  <c r="V31" i="7"/>
  <c r="G24" i="7"/>
  <c r="V25" i="7"/>
  <c r="V30" i="7"/>
  <c r="J32" i="7"/>
  <c r="E35" i="7"/>
  <c r="J37" i="7" s="1"/>
  <c r="G31" i="7"/>
  <c r="W35" i="6"/>
  <c r="X35" i="6" s="1"/>
  <c r="N38" i="6"/>
  <c r="O38" i="6" s="1"/>
  <c r="P38" i="6" s="1"/>
  <c r="N37" i="6"/>
  <c r="O37" i="6" s="1"/>
  <c r="P37" i="6" s="1"/>
  <c r="P42" i="6" s="1"/>
  <c r="N35" i="6"/>
  <c r="O35" i="6" s="1"/>
  <c r="P35" i="6" s="1"/>
  <c r="I35" i="6"/>
  <c r="N41" i="6"/>
  <c r="O41" i="6" s="1"/>
  <c r="P41" i="6" s="1"/>
  <c r="J44" i="6"/>
  <c r="I37" i="6"/>
  <c r="H37" i="6"/>
  <c r="H36" i="6"/>
  <c r="I36" i="6"/>
  <c r="I32" i="6"/>
  <c r="H32" i="6"/>
  <c r="H33" i="6"/>
  <c r="I33" i="6"/>
  <c r="G41" i="6"/>
  <c r="G30" i="6"/>
  <c r="V33" i="6"/>
  <c r="G40" i="6"/>
  <c r="V41" i="6"/>
  <c r="J30" i="6"/>
  <c r="G31" i="6"/>
  <c r="V32" i="6"/>
  <c r="G39" i="6"/>
  <c r="V40" i="6"/>
  <c r="V31" i="6"/>
  <c r="J33" i="6"/>
  <c r="G38" i="6"/>
  <c r="V39" i="6"/>
  <c r="V30" i="6"/>
  <c r="J32" i="6"/>
  <c r="V38" i="6"/>
  <c r="H34" i="6"/>
  <c r="V34" i="6"/>
  <c r="Q148" i="4"/>
  <c r="P148" i="4"/>
  <c r="O148" i="4"/>
  <c r="N148" i="4"/>
  <c r="W113" i="4"/>
  <c r="V112" i="4"/>
  <c r="U112" i="4"/>
  <c r="Z141" i="4"/>
  <c r="Z140" i="4"/>
  <c r="Z139" i="4"/>
  <c r="X141" i="4"/>
  <c r="V141" i="4"/>
  <c r="W141" i="4" s="1"/>
  <c r="N18" i="4"/>
  <c r="O18" i="4"/>
  <c r="P35" i="7" l="1"/>
  <c r="G35" i="7"/>
  <c r="I35" i="7" s="1"/>
  <c r="N35" i="7"/>
  <c r="O35" i="7" s="1"/>
  <c r="I26" i="7"/>
  <c r="H26" i="7"/>
  <c r="I31" i="7"/>
  <c r="H31" i="7"/>
  <c r="I30" i="7"/>
  <c r="H30" i="7"/>
  <c r="I24" i="7"/>
  <c r="H24" i="7"/>
  <c r="N42" i="6"/>
  <c r="O42" i="6" s="1"/>
  <c r="I31" i="6"/>
  <c r="H31" i="6"/>
  <c r="I38" i="6"/>
  <c r="H38" i="6"/>
  <c r="I40" i="6"/>
  <c r="H40" i="6"/>
  <c r="G42" i="6"/>
  <c r="I39" i="6"/>
  <c r="H39" i="6"/>
  <c r="I41" i="6"/>
  <c r="H41" i="6"/>
  <c r="I6" i="4"/>
  <c r="H35" i="7" l="1"/>
  <c r="I42" i="6"/>
  <c r="H42" i="6"/>
  <c r="O7" i="4"/>
  <c r="O8" i="4"/>
  <c r="O9" i="4"/>
  <c r="O10" i="4"/>
  <c r="O11" i="4"/>
  <c r="O12" i="4"/>
  <c r="O13" i="4"/>
  <c r="O14" i="4"/>
  <c r="O15" i="4"/>
  <c r="O16" i="4"/>
  <c r="O17" i="4"/>
  <c r="O6" i="4"/>
  <c r="I8" i="4"/>
  <c r="T120" i="4"/>
  <c r="T121" i="4"/>
  <c r="T122" i="4"/>
  <c r="T123" i="4"/>
  <c r="T124" i="4"/>
  <c r="T125" i="4"/>
  <c r="T126" i="4"/>
  <c r="T127" i="4"/>
  <c r="T128" i="4"/>
  <c r="T129" i="4"/>
  <c r="T131" i="4"/>
  <c r="T132" i="4"/>
  <c r="T133" i="4"/>
  <c r="T134" i="4"/>
  <c r="T135" i="4"/>
  <c r="T136" i="4"/>
  <c r="T119" i="4"/>
  <c r="BI5" i="5"/>
  <c r="N16" i="5"/>
  <c r="O16" i="5" s="1"/>
  <c r="P16" i="5" s="1"/>
  <c r="N15" i="5"/>
  <c r="O15" i="5" s="1"/>
  <c r="P15" i="5" s="1"/>
  <c r="N14" i="5"/>
  <c r="O14" i="5" s="1"/>
  <c r="P14" i="5" s="1"/>
  <c r="N13" i="5"/>
  <c r="O13" i="5" s="1"/>
  <c r="P13" i="5" s="1"/>
  <c r="O12" i="5"/>
  <c r="P12" i="5" s="1"/>
  <c r="N12" i="5"/>
  <c r="O11" i="5"/>
  <c r="P11" i="5" s="1"/>
  <c r="N11" i="5"/>
  <c r="O10" i="5"/>
  <c r="P10" i="5" s="1"/>
  <c r="N10" i="5"/>
  <c r="P9" i="5"/>
  <c r="O9" i="5"/>
  <c r="N9" i="5"/>
  <c r="N8" i="5"/>
  <c r="O8" i="5" s="1"/>
  <c r="P8" i="5" s="1"/>
  <c r="N7" i="5"/>
  <c r="O7" i="5" s="1"/>
  <c r="P7" i="5" s="1"/>
  <c r="N6" i="5"/>
  <c r="N17" i="5" s="1"/>
  <c r="O17" i="5" s="1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H17" i="5"/>
  <c r="H16" i="5"/>
  <c r="H15" i="5"/>
  <c r="H14" i="5"/>
  <c r="H13" i="5"/>
  <c r="H12" i="5"/>
  <c r="H11" i="5"/>
  <c r="H10" i="5"/>
  <c r="H9" i="5"/>
  <c r="H8" i="5"/>
  <c r="H7" i="5"/>
  <c r="H6" i="5"/>
  <c r="F57" i="5"/>
  <c r="G57" i="5"/>
  <c r="E57" i="5"/>
  <c r="X6" i="5"/>
  <c r="X7" i="5"/>
  <c r="X8" i="5"/>
  <c r="X9" i="5"/>
  <c r="X10" i="5"/>
  <c r="X11" i="5"/>
  <c r="X12" i="5"/>
  <c r="X13" i="5"/>
  <c r="X14" i="5"/>
  <c r="X15" i="5"/>
  <c r="X16" i="5"/>
  <c r="X5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K17" i="5"/>
  <c r="B16" i="5"/>
  <c r="B15" i="5"/>
  <c r="B14" i="5"/>
  <c r="B13" i="5"/>
  <c r="B12" i="5"/>
  <c r="B11" i="5"/>
  <c r="B10" i="5"/>
  <c r="B9" i="5"/>
  <c r="B8" i="5"/>
  <c r="B7" i="5"/>
  <c r="B6" i="5"/>
  <c r="B5" i="5"/>
  <c r="AB16" i="5"/>
  <c r="U16" i="5"/>
  <c r="W16" i="5" s="1"/>
  <c r="AB15" i="5"/>
  <c r="U15" i="5"/>
  <c r="V15" i="5" s="1"/>
  <c r="AB14" i="5"/>
  <c r="U14" i="5"/>
  <c r="W14" i="5" s="1"/>
  <c r="AB13" i="5"/>
  <c r="U13" i="5"/>
  <c r="W13" i="5" s="1"/>
  <c r="AB12" i="5"/>
  <c r="W12" i="5"/>
  <c r="U12" i="5"/>
  <c r="V12" i="5" s="1"/>
  <c r="AB11" i="5"/>
  <c r="U11" i="5"/>
  <c r="W11" i="5" s="1"/>
  <c r="AB10" i="5"/>
  <c r="W10" i="5"/>
  <c r="V10" i="5"/>
  <c r="U10" i="5"/>
  <c r="AB9" i="5"/>
  <c r="W9" i="5"/>
  <c r="V9" i="5"/>
  <c r="U9" i="5"/>
  <c r="AB8" i="5"/>
  <c r="U8" i="5"/>
  <c r="W8" i="5" s="1"/>
  <c r="AB7" i="5"/>
  <c r="U7" i="5"/>
  <c r="V7" i="5" s="1"/>
  <c r="AB6" i="5"/>
  <c r="U6" i="5"/>
  <c r="W6" i="5" s="1"/>
  <c r="AB5" i="5"/>
  <c r="W5" i="5"/>
  <c r="U5" i="5"/>
  <c r="V5" i="5" s="1"/>
  <c r="AW21" i="5"/>
  <c r="BA18" i="5"/>
  <c r="BF17" i="5"/>
  <c r="BE17" i="5"/>
  <c r="AZ17" i="5"/>
  <c r="AY17" i="5"/>
  <c r="AT17" i="5"/>
  <c r="BP16" i="5"/>
  <c r="BB16" i="5" s="1"/>
  <c r="BC16" i="5" s="1"/>
  <c r="BD16" i="5" s="1"/>
  <c r="BI16" i="5"/>
  <c r="BJ16" i="5" s="1"/>
  <c r="BA16" i="5"/>
  <c r="AS16" i="5"/>
  <c r="AX16" i="5" s="1"/>
  <c r="BP15" i="5"/>
  <c r="BB15" i="5" s="1"/>
  <c r="BC15" i="5" s="1"/>
  <c r="BD15" i="5" s="1"/>
  <c r="BI15" i="5"/>
  <c r="BK15" i="5" s="1"/>
  <c r="BL15" i="5" s="1"/>
  <c r="BA15" i="5"/>
  <c r="AS15" i="5"/>
  <c r="AX15" i="5" s="1"/>
  <c r="AP15" i="5"/>
  <c r="BP14" i="5"/>
  <c r="BB14" i="5" s="1"/>
  <c r="BC14" i="5" s="1"/>
  <c r="BD14" i="5" s="1"/>
  <c r="BI14" i="5"/>
  <c r="BK14" i="5" s="1"/>
  <c r="BL14" i="5" s="1"/>
  <c r="BA14" i="5"/>
  <c r="AS14" i="5"/>
  <c r="AU14" i="5" s="1"/>
  <c r="AV14" i="5" s="1"/>
  <c r="AW14" i="5" s="1"/>
  <c r="BP13" i="5"/>
  <c r="BB13" i="5" s="1"/>
  <c r="BC13" i="5" s="1"/>
  <c r="BD13" i="5" s="1"/>
  <c r="BI13" i="5"/>
  <c r="BJ13" i="5" s="1"/>
  <c r="BA13" i="5"/>
  <c r="AX13" i="5"/>
  <c r="AS13" i="5"/>
  <c r="AU13" i="5" s="1"/>
  <c r="AV13" i="5" s="1"/>
  <c r="AW13" i="5" s="1"/>
  <c r="AP13" i="5"/>
  <c r="BP12" i="5"/>
  <c r="BB12" i="5" s="1"/>
  <c r="BC12" i="5" s="1"/>
  <c r="BD12" i="5" s="1"/>
  <c r="BI12" i="5"/>
  <c r="BJ12" i="5" s="1"/>
  <c r="BA12" i="5"/>
  <c r="AS12" i="5"/>
  <c r="AU12" i="5" s="1"/>
  <c r="AV12" i="5" s="1"/>
  <c r="AW12" i="5" s="1"/>
  <c r="BP11" i="5"/>
  <c r="BB11" i="5" s="1"/>
  <c r="BC11" i="5" s="1"/>
  <c r="BD11" i="5" s="1"/>
  <c r="BK11" i="5"/>
  <c r="BL11" i="5" s="1"/>
  <c r="BI11" i="5"/>
  <c r="BJ11" i="5" s="1"/>
  <c r="BA11" i="5"/>
  <c r="AS11" i="5"/>
  <c r="AU11" i="5" s="1"/>
  <c r="AV11" i="5" s="1"/>
  <c r="AW11" i="5" s="1"/>
  <c r="BP10" i="5"/>
  <c r="BB10" i="5" s="1"/>
  <c r="BC10" i="5" s="1"/>
  <c r="BD10" i="5" s="1"/>
  <c r="BI10" i="5"/>
  <c r="BJ10" i="5" s="1"/>
  <c r="BA10" i="5"/>
  <c r="AS10" i="5"/>
  <c r="AP10" i="5" s="1"/>
  <c r="BP9" i="5"/>
  <c r="BB9" i="5" s="1"/>
  <c r="BC9" i="5" s="1"/>
  <c r="BD9" i="5" s="1"/>
  <c r="BI9" i="5"/>
  <c r="BK9" i="5" s="1"/>
  <c r="BL9" i="5" s="1"/>
  <c r="BA9" i="5"/>
  <c r="AS9" i="5"/>
  <c r="AX9" i="5" s="1"/>
  <c r="BP8" i="5"/>
  <c r="BI8" i="5"/>
  <c r="BK8" i="5" s="1"/>
  <c r="BL8" i="5" s="1"/>
  <c r="BB8" i="5"/>
  <c r="BC8" i="5" s="1"/>
  <c r="BD8" i="5" s="1"/>
  <c r="BA8" i="5"/>
  <c r="AS8" i="5"/>
  <c r="AX8" i="5" s="1"/>
  <c r="AP8" i="5"/>
  <c r="BP7" i="5"/>
  <c r="BB7" i="5" s="1"/>
  <c r="BC7" i="5" s="1"/>
  <c r="BD7" i="5" s="1"/>
  <c r="BI7" i="5"/>
  <c r="BK7" i="5" s="1"/>
  <c r="BL7" i="5" s="1"/>
  <c r="BA7" i="5"/>
  <c r="AS7" i="5"/>
  <c r="AX7" i="5" s="1"/>
  <c r="AP7" i="5"/>
  <c r="BP6" i="5"/>
  <c r="BB6" i="5" s="1"/>
  <c r="BI6" i="5"/>
  <c r="BK6" i="5" s="1"/>
  <c r="BL6" i="5" s="1"/>
  <c r="BA6" i="5"/>
  <c r="AS6" i="5"/>
  <c r="AU6" i="5" s="1"/>
  <c r="AV6" i="5" s="1"/>
  <c r="AW6" i="5" s="1"/>
  <c r="AP6" i="5"/>
  <c r="BP5" i="5"/>
  <c r="BJ5" i="5"/>
  <c r="AS5" i="5"/>
  <c r="AX5" i="5" s="1"/>
  <c r="R17" i="5"/>
  <c r="Q17" i="5"/>
  <c r="L17" i="5"/>
  <c r="F17" i="5"/>
  <c r="I17" i="6"/>
  <c r="F19" i="6" s="1"/>
  <c r="H17" i="6"/>
  <c r="G17" i="6"/>
  <c r="E17" i="6"/>
  <c r="D17" i="6"/>
  <c r="I17" i="7"/>
  <c r="H17" i="7"/>
  <c r="G17" i="7"/>
  <c r="E17" i="7"/>
  <c r="I21" i="4"/>
  <c r="M18" i="4"/>
  <c r="K17" i="4"/>
  <c r="L17" i="4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26" i="4"/>
  <c r="S26" i="4" s="1"/>
  <c r="I44" i="4"/>
  <c r="J44" i="4" s="1"/>
  <c r="I45" i="4"/>
  <c r="J45" i="4" s="1"/>
  <c r="I46" i="4"/>
  <c r="J46" i="4" s="1"/>
  <c r="I47" i="4"/>
  <c r="J47" i="4" s="1"/>
  <c r="I43" i="4"/>
  <c r="J43" i="4" s="1"/>
  <c r="Q17" i="4"/>
  <c r="R17" i="4"/>
  <c r="O49" i="4"/>
  <c r="I41" i="4"/>
  <c r="K41" i="4" s="1"/>
  <c r="I37" i="4"/>
  <c r="J37" i="4" s="1"/>
  <c r="I34" i="4"/>
  <c r="K34" i="4" s="1"/>
  <c r="AB6" i="4"/>
  <c r="N6" i="4" s="1"/>
  <c r="AB7" i="4"/>
  <c r="N7" i="4" s="1"/>
  <c r="AB8" i="4"/>
  <c r="N8" i="4" s="1"/>
  <c r="AB9" i="4"/>
  <c r="N9" i="4" s="1"/>
  <c r="AB10" i="4"/>
  <c r="N10" i="4" s="1"/>
  <c r="AB11" i="4"/>
  <c r="N11" i="4" s="1"/>
  <c r="AB12" i="4"/>
  <c r="N12" i="4" s="1"/>
  <c r="AB13" i="4"/>
  <c r="N13" i="4" s="1"/>
  <c r="AB14" i="4"/>
  <c r="N14" i="4" s="1"/>
  <c r="AB15" i="4"/>
  <c r="N15" i="4" s="1"/>
  <c r="AB16" i="4"/>
  <c r="N16" i="4" s="1"/>
  <c r="AB5" i="4"/>
  <c r="M12" i="4"/>
  <c r="M13" i="4"/>
  <c r="M14" i="4"/>
  <c r="M15" i="4"/>
  <c r="M16" i="4"/>
  <c r="M7" i="4"/>
  <c r="M8" i="4"/>
  <c r="M9" i="4"/>
  <c r="M10" i="4"/>
  <c r="M11" i="4"/>
  <c r="A97" i="4"/>
  <c r="A98" i="4" s="1"/>
  <c r="B97" i="4"/>
  <c r="FI98" i="4"/>
  <c r="FI97" i="4"/>
  <c r="EU98" i="4"/>
  <c r="EU97" i="4"/>
  <c r="EG98" i="4"/>
  <c r="EG97" i="4"/>
  <c r="DS98" i="4"/>
  <c r="DS97" i="4"/>
  <c r="DE98" i="4"/>
  <c r="DE97" i="4"/>
  <c r="CQ98" i="4"/>
  <c r="CQ97" i="4"/>
  <c r="CC98" i="4"/>
  <c r="CC97" i="4"/>
  <c r="BO98" i="4"/>
  <c r="BO97" i="4"/>
  <c r="AZ98" i="4"/>
  <c r="AZ97" i="4"/>
  <c r="AM98" i="4"/>
  <c r="AM97" i="4"/>
  <c r="U98" i="4"/>
  <c r="U97" i="4"/>
  <c r="F98" i="4"/>
  <c r="F97" i="4"/>
  <c r="M6" i="4"/>
  <c r="M17" i="4" l="1"/>
  <c r="R38" i="4"/>
  <c r="S38" i="4" s="1"/>
  <c r="K37" i="4"/>
  <c r="O6" i="5"/>
  <c r="P6" i="5" s="1"/>
  <c r="P17" i="5" s="1"/>
  <c r="AX10" i="5"/>
  <c r="V8" i="5"/>
  <c r="V16" i="5"/>
  <c r="AU10" i="5"/>
  <c r="AV10" i="5" s="1"/>
  <c r="AW10" i="5" s="1"/>
  <c r="M19" i="5"/>
  <c r="BK12" i="5"/>
  <c r="BL12" i="5" s="1"/>
  <c r="AP14" i="5"/>
  <c r="BA17" i="5"/>
  <c r="BA19" i="5"/>
  <c r="AP5" i="5"/>
  <c r="AP11" i="5"/>
  <c r="AP12" i="5"/>
  <c r="AP16" i="5"/>
  <c r="AX11" i="5"/>
  <c r="AX12" i="5"/>
  <c r="W7" i="5"/>
  <c r="W15" i="5"/>
  <c r="V6" i="5"/>
  <c r="V14" i="5"/>
  <c r="V11" i="5"/>
  <c r="V13" i="5"/>
  <c r="BC6" i="5"/>
  <c r="BD6" i="5" s="1"/>
  <c r="BD17" i="5" s="1"/>
  <c r="BB17" i="5"/>
  <c r="BC17" i="5" s="1"/>
  <c r="BK5" i="5"/>
  <c r="BL5" i="5" s="1"/>
  <c r="AX6" i="5"/>
  <c r="AP9" i="5"/>
  <c r="BK13" i="5"/>
  <c r="BL13" i="5" s="1"/>
  <c r="AX14" i="5"/>
  <c r="AS17" i="5"/>
  <c r="BJ9" i="5"/>
  <c r="BK10" i="5"/>
  <c r="BL10" i="5" s="1"/>
  <c r="AU16" i="5"/>
  <c r="AV16" i="5" s="1"/>
  <c r="AW16" i="5" s="1"/>
  <c r="BK16" i="5"/>
  <c r="BL16" i="5" s="1"/>
  <c r="AU9" i="5"/>
  <c r="AV9" i="5" s="1"/>
  <c r="AW9" i="5" s="1"/>
  <c r="AU8" i="5"/>
  <c r="AV8" i="5" s="1"/>
  <c r="AW8" i="5" s="1"/>
  <c r="AU5" i="5"/>
  <c r="AU7" i="5"/>
  <c r="AV7" i="5" s="1"/>
  <c r="AW7" i="5" s="1"/>
  <c r="BJ8" i="5"/>
  <c r="AU15" i="5"/>
  <c r="AV15" i="5" s="1"/>
  <c r="AW15" i="5" s="1"/>
  <c r="BJ7" i="5"/>
  <c r="BJ15" i="5"/>
  <c r="BJ6" i="5"/>
  <c r="BJ14" i="5"/>
  <c r="P11" i="4"/>
  <c r="M19" i="4"/>
  <c r="P16" i="4"/>
  <c r="N17" i="4"/>
  <c r="P10" i="4"/>
  <c r="P9" i="4"/>
  <c r="P8" i="4"/>
  <c r="J41" i="4"/>
  <c r="P15" i="4"/>
  <c r="P7" i="4"/>
  <c r="P12" i="4"/>
  <c r="P14" i="4"/>
  <c r="P13" i="4"/>
  <c r="P6" i="4"/>
  <c r="K46" i="4"/>
  <c r="K45" i="4"/>
  <c r="K47" i="4"/>
  <c r="K44" i="4"/>
  <c r="K43" i="4"/>
  <c r="B100" i="4"/>
  <c r="C100" i="4" s="1"/>
  <c r="J34" i="4"/>
  <c r="L16" i="7"/>
  <c r="M16" i="7" s="1"/>
  <c r="L15" i="7"/>
  <c r="M15" i="7" s="1"/>
  <c r="L14" i="7"/>
  <c r="M14" i="7" s="1"/>
  <c r="L13" i="7"/>
  <c r="M13" i="7" s="1"/>
  <c r="L12" i="7"/>
  <c r="M12" i="7" s="1"/>
  <c r="L11" i="7"/>
  <c r="M11" i="7" s="1"/>
  <c r="L10" i="7"/>
  <c r="M10" i="7" s="1"/>
  <c r="L9" i="7"/>
  <c r="M9" i="7" s="1"/>
  <c r="L8" i="7"/>
  <c r="M8" i="7" s="1"/>
  <c r="L7" i="7"/>
  <c r="M7" i="7" s="1"/>
  <c r="L6" i="7"/>
  <c r="M6" i="7" s="1"/>
  <c r="L5" i="7"/>
  <c r="M5" i="7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U6" i="4"/>
  <c r="W6" i="4" s="1"/>
  <c r="X6" i="4" s="1"/>
  <c r="U7" i="4"/>
  <c r="W7" i="4" s="1"/>
  <c r="X7" i="4" s="1"/>
  <c r="U8" i="4"/>
  <c r="U9" i="4"/>
  <c r="W9" i="4" s="1"/>
  <c r="X9" i="4" s="1"/>
  <c r="U10" i="4"/>
  <c r="W10" i="4" s="1"/>
  <c r="X10" i="4" s="1"/>
  <c r="U11" i="4"/>
  <c r="W11" i="4" s="1"/>
  <c r="X11" i="4" s="1"/>
  <c r="U12" i="4"/>
  <c r="U13" i="4"/>
  <c r="W13" i="4" s="1"/>
  <c r="X13" i="4" s="1"/>
  <c r="U14" i="4"/>
  <c r="W14" i="4" s="1"/>
  <c r="X14" i="4" s="1"/>
  <c r="U15" i="4"/>
  <c r="U16" i="4"/>
  <c r="U5" i="4"/>
  <c r="W5" i="4" s="1"/>
  <c r="X5" i="4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D6" i="7"/>
  <c r="F6" i="7" s="1"/>
  <c r="D5" i="7"/>
  <c r="D16" i="6"/>
  <c r="F16" i="6" s="1"/>
  <c r="F15" i="6"/>
  <c r="D15" i="6"/>
  <c r="D14" i="6"/>
  <c r="F14" i="6" s="1"/>
  <c r="D13" i="6"/>
  <c r="F13" i="6" s="1"/>
  <c r="D12" i="6"/>
  <c r="F12" i="6" s="1"/>
  <c r="D11" i="6"/>
  <c r="F11" i="6" s="1"/>
  <c r="D10" i="6"/>
  <c r="F10" i="6" s="1"/>
  <c r="F9" i="6"/>
  <c r="D9" i="6"/>
  <c r="D8" i="6"/>
  <c r="F8" i="6" s="1"/>
  <c r="D7" i="6"/>
  <c r="F7" i="6" s="1"/>
  <c r="D6" i="6"/>
  <c r="F6" i="6" s="1"/>
  <c r="D5" i="6"/>
  <c r="F5" i="6" s="1"/>
  <c r="E16" i="5"/>
  <c r="E15" i="5"/>
  <c r="E14" i="5"/>
  <c r="E13" i="5"/>
  <c r="E12" i="5"/>
  <c r="E11" i="5"/>
  <c r="E10" i="5"/>
  <c r="E9" i="5"/>
  <c r="E8" i="5"/>
  <c r="E7" i="5"/>
  <c r="E6" i="5"/>
  <c r="E5" i="5"/>
  <c r="E16" i="4"/>
  <c r="E15" i="4"/>
  <c r="E14" i="4"/>
  <c r="E13" i="4"/>
  <c r="E12" i="4"/>
  <c r="E11" i="4"/>
  <c r="E10" i="4"/>
  <c r="E9" i="4"/>
  <c r="E8" i="4"/>
  <c r="E7" i="4"/>
  <c r="E6" i="4"/>
  <c r="E5" i="4"/>
  <c r="M67" i="2"/>
  <c r="N67" i="2" s="1"/>
  <c r="O82" i="2"/>
  <c r="O83" i="2"/>
  <c r="O84" i="2"/>
  <c r="O85" i="2"/>
  <c r="O86" i="2"/>
  <c r="O87" i="2"/>
  <c r="O88" i="2"/>
  <c r="O89" i="2"/>
  <c r="O90" i="2"/>
  <c r="O91" i="2"/>
  <c r="O92" i="2"/>
  <c r="O81" i="2"/>
  <c r="F5" i="7" l="1"/>
  <c r="D17" i="7"/>
  <c r="F19" i="7" s="1"/>
  <c r="J12" i="5"/>
  <c r="G12" i="5"/>
  <c r="I12" i="5" s="1"/>
  <c r="J5" i="5"/>
  <c r="G5" i="5"/>
  <c r="E17" i="5"/>
  <c r="J19" i="5" s="1"/>
  <c r="J13" i="5"/>
  <c r="G13" i="5"/>
  <c r="I13" i="5" s="1"/>
  <c r="J11" i="5"/>
  <c r="G11" i="5"/>
  <c r="I11" i="5" s="1"/>
  <c r="J6" i="5"/>
  <c r="G6" i="5"/>
  <c r="I6" i="5" s="1"/>
  <c r="J14" i="5"/>
  <c r="G14" i="5"/>
  <c r="I14" i="5" s="1"/>
  <c r="J7" i="5"/>
  <c r="G7" i="5"/>
  <c r="I7" i="5" s="1"/>
  <c r="J15" i="5"/>
  <c r="G15" i="5"/>
  <c r="I15" i="5" s="1"/>
  <c r="J8" i="5"/>
  <c r="G8" i="5"/>
  <c r="I8" i="5" s="1"/>
  <c r="J9" i="5"/>
  <c r="G9" i="5"/>
  <c r="I9" i="5" s="1"/>
  <c r="J16" i="5"/>
  <c r="G16" i="5"/>
  <c r="I16" i="5" s="1"/>
  <c r="J10" i="5"/>
  <c r="G10" i="5"/>
  <c r="I10" i="5" s="1"/>
  <c r="AU17" i="5"/>
  <c r="AV17" i="5" s="1"/>
  <c r="AW17" i="5" s="1"/>
  <c r="P17" i="4"/>
  <c r="J12" i="4"/>
  <c r="B12" i="4"/>
  <c r="J13" i="4"/>
  <c r="B13" i="4"/>
  <c r="J6" i="4"/>
  <c r="B6" i="4"/>
  <c r="J14" i="4"/>
  <c r="B14" i="4"/>
  <c r="J5" i="4"/>
  <c r="B5" i="4"/>
  <c r="J7" i="4"/>
  <c r="B7" i="4"/>
  <c r="J15" i="4"/>
  <c r="B15" i="4"/>
  <c r="J16" i="4"/>
  <c r="B16" i="4"/>
  <c r="J9" i="4"/>
  <c r="B9" i="4"/>
  <c r="J8" i="4"/>
  <c r="B8" i="4"/>
  <c r="J10" i="4"/>
  <c r="B10" i="4"/>
  <c r="J11" i="4"/>
  <c r="B11" i="4"/>
  <c r="V6" i="4"/>
  <c r="V11" i="4"/>
  <c r="V5" i="4"/>
  <c r="G13" i="4"/>
  <c r="H13" i="4" s="1"/>
  <c r="I13" i="4" s="1"/>
  <c r="G11" i="4"/>
  <c r="H11" i="4" s="1"/>
  <c r="I11" i="4" s="1"/>
  <c r="V9" i="4"/>
  <c r="G10" i="4"/>
  <c r="H10" i="4" s="1"/>
  <c r="I10" i="4" s="1"/>
  <c r="V7" i="4"/>
  <c r="V10" i="4"/>
  <c r="G9" i="4"/>
  <c r="H9" i="4" s="1"/>
  <c r="I9" i="4" s="1"/>
  <c r="V8" i="4"/>
  <c r="W8" i="4"/>
  <c r="X8" i="4" s="1"/>
  <c r="E17" i="4"/>
  <c r="G12" i="4"/>
  <c r="H12" i="4" s="1"/>
  <c r="I12" i="4" s="1"/>
  <c r="V13" i="4"/>
  <c r="G16" i="4"/>
  <c r="G8" i="4"/>
  <c r="H8" i="4" s="1"/>
  <c r="V12" i="4"/>
  <c r="W12" i="4"/>
  <c r="X12" i="4" s="1"/>
  <c r="G6" i="4"/>
  <c r="V14" i="4"/>
  <c r="G15" i="4"/>
  <c r="H15" i="4" s="1"/>
  <c r="I15" i="4" s="1"/>
  <c r="G7" i="4"/>
  <c r="V16" i="4"/>
  <c r="W16" i="4"/>
  <c r="X16" i="4" s="1"/>
  <c r="V15" i="4"/>
  <c r="W15" i="4"/>
  <c r="X15" i="4" s="1"/>
  <c r="G14" i="4"/>
  <c r="H14" i="4" s="1"/>
  <c r="I14" i="4" s="1"/>
  <c r="J92" i="2"/>
  <c r="J91" i="2"/>
  <c r="J90" i="2"/>
  <c r="J89" i="2"/>
  <c r="J88" i="2"/>
  <c r="J87" i="2"/>
  <c r="J86" i="2"/>
  <c r="J85" i="2"/>
  <c r="J84" i="2"/>
  <c r="J83" i="2"/>
  <c r="J82" i="2"/>
  <c r="J81" i="2"/>
  <c r="M70" i="2"/>
  <c r="O67" i="2"/>
  <c r="AB17" i="2"/>
  <c r="AD17" i="2" s="1"/>
  <c r="U17" i="2"/>
  <c r="W17" i="2" s="1"/>
  <c r="N17" i="2"/>
  <c r="P17" i="2" s="1"/>
  <c r="E17" i="2"/>
  <c r="G17" i="2" s="1"/>
  <c r="AB16" i="2"/>
  <c r="AD16" i="2" s="1"/>
  <c r="U16" i="2"/>
  <c r="W16" i="2" s="1"/>
  <c r="N16" i="2"/>
  <c r="P16" i="2" s="1"/>
  <c r="E16" i="2"/>
  <c r="G16" i="2" s="1"/>
  <c r="AB15" i="2"/>
  <c r="AD15" i="2" s="1"/>
  <c r="U15" i="2"/>
  <c r="W15" i="2" s="1"/>
  <c r="N15" i="2"/>
  <c r="P15" i="2" s="1"/>
  <c r="E15" i="2"/>
  <c r="G15" i="2" s="1"/>
  <c r="AB14" i="2"/>
  <c r="AD14" i="2" s="1"/>
  <c r="U14" i="2"/>
  <c r="W14" i="2" s="1"/>
  <c r="N14" i="2"/>
  <c r="P14" i="2" s="1"/>
  <c r="E14" i="2"/>
  <c r="G14" i="2" s="1"/>
  <c r="AB13" i="2"/>
  <c r="AD13" i="2" s="1"/>
  <c r="U13" i="2"/>
  <c r="W13" i="2" s="1"/>
  <c r="N13" i="2"/>
  <c r="P13" i="2" s="1"/>
  <c r="E13" i="2"/>
  <c r="G13" i="2" s="1"/>
  <c r="AB12" i="2"/>
  <c r="AD12" i="2" s="1"/>
  <c r="U12" i="2"/>
  <c r="W12" i="2" s="1"/>
  <c r="N12" i="2"/>
  <c r="P12" i="2" s="1"/>
  <c r="E12" i="2"/>
  <c r="G12" i="2" s="1"/>
  <c r="AB11" i="2"/>
  <c r="AD11" i="2" s="1"/>
  <c r="U11" i="2"/>
  <c r="W11" i="2" s="1"/>
  <c r="N11" i="2"/>
  <c r="P11" i="2" s="1"/>
  <c r="E11" i="2"/>
  <c r="G11" i="2" s="1"/>
  <c r="AB10" i="2"/>
  <c r="AD10" i="2" s="1"/>
  <c r="U10" i="2"/>
  <c r="W10" i="2" s="1"/>
  <c r="N10" i="2"/>
  <c r="P10" i="2" s="1"/>
  <c r="E10" i="2"/>
  <c r="G10" i="2" s="1"/>
  <c r="AB9" i="2"/>
  <c r="AD9" i="2" s="1"/>
  <c r="U9" i="2"/>
  <c r="W9" i="2" s="1"/>
  <c r="N9" i="2"/>
  <c r="P9" i="2" s="1"/>
  <c r="E9" i="2"/>
  <c r="G9" i="2" s="1"/>
  <c r="AB8" i="2"/>
  <c r="AD8" i="2" s="1"/>
  <c r="U8" i="2"/>
  <c r="W8" i="2" s="1"/>
  <c r="N8" i="2"/>
  <c r="P8" i="2" s="1"/>
  <c r="E8" i="2"/>
  <c r="G8" i="2" s="1"/>
  <c r="AB7" i="2"/>
  <c r="AD7" i="2" s="1"/>
  <c r="U7" i="2"/>
  <c r="W7" i="2" s="1"/>
  <c r="N7" i="2"/>
  <c r="P7" i="2" s="1"/>
  <c r="E7" i="2"/>
  <c r="G7" i="2" s="1"/>
  <c r="AB6" i="2"/>
  <c r="U6" i="2"/>
  <c r="N6" i="2"/>
  <c r="E6" i="2"/>
  <c r="K82" i="1"/>
  <c r="K83" i="1"/>
  <c r="K84" i="1"/>
  <c r="K85" i="1"/>
  <c r="K86" i="1"/>
  <c r="K87" i="1"/>
  <c r="K88" i="1"/>
  <c r="K89" i="1"/>
  <c r="K90" i="1"/>
  <c r="K91" i="1"/>
  <c r="K92" i="1"/>
  <c r="K81" i="1"/>
  <c r="J82" i="1"/>
  <c r="J83" i="1"/>
  <c r="J84" i="1"/>
  <c r="J85" i="1"/>
  <c r="J86" i="1"/>
  <c r="J87" i="1"/>
  <c r="J88" i="1"/>
  <c r="J89" i="1"/>
  <c r="J90" i="1"/>
  <c r="J91" i="1"/>
  <c r="J92" i="1"/>
  <c r="J81" i="1"/>
  <c r="L67" i="1"/>
  <c r="L70" i="1"/>
  <c r="G6" i="2" l="1"/>
  <c r="E18" i="2"/>
  <c r="P6" i="2"/>
  <c r="M18" i="2"/>
  <c r="W6" i="2"/>
  <c r="AD6" i="2"/>
  <c r="G17" i="5"/>
  <c r="I17" i="5" s="1"/>
  <c r="H16" i="4"/>
  <c r="I16" i="4" s="1"/>
  <c r="H7" i="4"/>
  <c r="I7" i="4" s="1"/>
  <c r="H6" i="4"/>
  <c r="O70" i="2"/>
  <c r="M90" i="2" s="1"/>
  <c r="N70" i="2"/>
  <c r="K81" i="2"/>
  <c r="N81" i="2"/>
  <c r="P81" i="2" s="1"/>
  <c r="K85" i="2"/>
  <c r="N85" i="2"/>
  <c r="P85" i="2" s="1"/>
  <c r="K89" i="2"/>
  <c r="N89" i="2"/>
  <c r="P89" i="2" s="1"/>
  <c r="K82" i="2"/>
  <c r="N82" i="2"/>
  <c r="P82" i="2" s="1"/>
  <c r="K86" i="2"/>
  <c r="N86" i="2"/>
  <c r="P86" i="2" s="1"/>
  <c r="K90" i="2"/>
  <c r="N90" i="2"/>
  <c r="P90" i="2" s="1"/>
  <c r="K83" i="2"/>
  <c r="N83" i="2"/>
  <c r="P83" i="2" s="1"/>
  <c r="K87" i="2"/>
  <c r="N87" i="2"/>
  <c r="P87" i="2" s="1"/>
  <c r="K91" i="2"/>
  <c r="N91" i="2"/>
  <c r="P91" i="2" s="1"/>
  <c r="K84" i="2"/>
  <c r="N84" i="2"/>
  <c r="P84" i="2" s="1"/>
  <c r="K88" i="2"/>
  <c r="N88" i="2"/>
  <c r="P88" i="2" s="1"/>
  <c r="K92" i="2"/>
  <c r="N92" i="2"/>
  <c r="P92" i="2" s="1"/>
  <c r="M91" i="2"/>
  <c r="M87" i="2"/>
  <c r="E11" i="1"/>
  <c r="M86" i="2" l="1"/>
  <c r="M84" i="2"/>
  <c r="M85" i="2"/>
  <c r="M89" i="2"/>
  <c r="M83" i="2"/>
  <c r="M82" i="2"/>
  <c r="M81" i="2"/>
  <c r="M92" i="2"/>
  <c r="M88" i="2"/>
  <c r="E10" i="1"/>
  <c r="E9" i="1" l="1"/>
  <c r="E8" i="1" l="1"/>
  <c r="E7" i="1" l="1"/>
  <c r="E6" i="1" l="1"/>
  <c r="E17" i="1" l="1"/>
  <c r="E16" i="1" l="1"/>
  <c r="E15" i="1" l="1"/>
  <c r="E14" i="1" l="1"/>
  <c r="E13" i="1" l="1"/>
  <c r="E12" i="1" l="1"/>
  <c r="X17" i="1" l="1"/>
  <c r="X16" i="1" l="1"/>
  <c r="X15" i="1" l="1"/>
  <c r="X14" i="1" l="1"/>
  <c r="X13" i="1" l="1"/>
  <c r="X12" i="1" l="1"/>
  <c r="X11" i="1" l="1"/>
  <c r="X10" i="1" l="1"/>
  <c r="X9" i="1" l="1"/>
  <c r="X8" i="1" l="1"/>
  <c r="X7" i="1" l="1"/>
  <c r="X6" i="1" l="1"/>
  <c r="R17" i="1" l="1"/>
  <c r="R16" i="1" l="1"/>
  <c r="R15" i="1" l="1"/>
  <c r="R14" i="1" l="1"/>
  <c r="R13" i="1" l="1"/>
  <c r="R12" i="1" l="1"/>
  <c r="R11" i="1" l="1"/>
  <c r="R10" i="1" l="1"/>
  <c r="R9" i="1" l="1"/>
  <c r="R8" i="1" l="1"/>
  <c r="R7" i="1" l="1"/>
  <c r="R6" i="1" l="1"/>
  <c r="L17" i="1" l="1"/>
  <c r="L16" i="1" l="1"/>
  <c r="L15" i="1" l="1"/>
  <c r="L14" i="1" l="1"/>
  <c r="L13" i="1" l="1"/>
  <c r="L12" i="1" l="1"/>
  <c r="L11" i="1" l="1"/>
  <c r="L10" i="1" l="1"/>
  <c r="L9" i="1" l="1"/>
  <c r="L8" i="1" l="1"/>
  <c r="Z17" i="1" l="1"/>
  <c r="Z16" i="1"/>
  <c r="Z15" i="1"/>
  <c r="Z14" i="1"/>
  <c r="Z13" i="1"/>
  <c r="Z12" i="1"/>
  <c r="Z11" i="1"/>
  <c r="Z10" i="1"/>
  <c r="Z9" i="1"/>
  <c r="Z8" i="1"/>
  <c r="Z7" i="1"/>
  <c r="Z6" i="1"/>
  <c r="T17" i="1"/>
  <c r="T16" i="1"/>
  <c r="T15" i="1"/>
  <c r="T14" i="1"/>
  <c r="T13" i="1"/>
  <c r="T12" i="1"/>
  <c r="T11" i="1"/>
  <c r="T10" i="1"/>
  <c r="T9" i="1"/>
  <c r="T8" i="1"/>
  <c r="T7" i="1"/>
  <c r="T6" i="1"/>
  <c r="G17" i="1"/>
  <c r="G16" i="1"/>
  <c r="G15" i="1"/>
  <c r="G14" i="1"/>
  <c r="G13" i="1"/>
  <c r="G12" i="1"/>
  <c r="G11" i="1"/>
  <c r="G10" i="1"/>
  <c r="G9" i="1"/>
  <c r="G8" i="1"/>
  <c r="G7" i="1"/>
  <c r="G6" i="1"/>
  <c r="N17" i="1"/>
  <c r="N16" i="1"/>
  <c r="N15" i="1"/>
  <c r="N14" i="1"/>
  <c r="N13" i="1"/>
  <c r="N12" i="1"/>
  <c r="N11" i="1"/>
  <c r="N10" i="1"/>
  <c r="N9" i="1"/>
  <c r="N8" i="1"/>
  <c r="N7" i="1"/>
  <c r="L7" i="1"/>
  <c r="L6" i="1" l="1"/>
  <c r="N6" i="1" s="1"/>
  <c r="F17" i="4"/>
  <c r="G5" i="4"/>
  <c r="G17" i="4" s="1"/>
  <c r="H17" i="4" s="1"/>
  <c r="I17" i="4" s="1"/>
</calcChain>
</file>

<file path=xl/sharedStrings.xml><?xml version="1.0" encoding="utf-8"?>
<sst xmlns="http://schemas.openxmlformats.org/spreadsheetml/2006/main" count="2349" uniqueCount="1350">
  <si>
    <t>Rose Park Golf Course</t>
  </si>
  <si>
    <t>Expenses</t>
  </si>
  <si>
    <t>Profit</t>
  </si>
  <si>
    <t>Cost per round</t>
  </si>
  <si>
    <t>Rounds Played</t>
  </si>
  <si>
    <t>Water Usage 100 Cubic Feet</t>
  </si>
  <si>
    <t>Water Cost</t>
  </si>
  <si>
    <t>Avg High Temp for F</t>
  </si>
  <si>
    <t>Total Precipitation inch</t>
  </si>
  <si>
    <t>Water Usage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</si>
  <si>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</si>
  <si>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</si>
  <si>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</si>
  <si>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</si>
  <si>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</si>
  <si>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</si>
  <si>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</si>
  <si>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</si>
  <si>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</si>
  <si>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</si>
  <si>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</si>
  <si>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</si>
  <si>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 100 cubic feet</t>
  </si>
  <si>
    <t>July of 2018 secondary water systems was completed and now tracked</t>
  </si>
  <si>
    <t>After initially charging for those first two months they gave credit</t>
  </si>
  <si>
    <t>No charges were made for secondary water until rate was established with City Council</t>
  </si>
  <si>
    <t>That rate was implemented in July 2019 (which is the August billing)</t>
  </si>
  <si>
    <t>Other existing water usage and costs are culinary for primarily the clubhouse</t>
  </si>
  <si>
    <t>total acres</t>
  </si>
  <si>
    <t>gal/week</t>
  </si>
  <si>
    <t>Gal/Day</t>
  </si>
  <si>
    <t>ac-ft/month</t>
  </si>
  <si>
    <t>avg water use</t>
  </si>
  <si>
    <t>avg ft^3</t>
  </si>
  <si>
    <t>ac-ft</t>
  </si>
  <si>
    <t>monthly Cost of water</t>
  </si>
  <si>
    <t>surplus/shortage</t>
  </si>
  <si>
    <t>Gal</t>
  </si>
  <si>
    <t>gals per day</t>
  </si>
  <si>
    <t>Operating Expenses</t>
  </si>
  <si>
    <t>Income</t>
  </si>
  <si>
    <t>Income per round</t>
  </si>
  <si>
    <t>ft^3</t>
  </si>
  <si>
    <t>Temp</t>
  </si>
  <si>
    <t>Gallon</t>
  </si>
  <si>
    <t>gallon perday</t>
  </si>
  <si>
    <t>Rounds needed for breakeven</t>
  </si>
  <si>
    <t>Sunrise/Sunset</t>
  </si>
  <si>
    <t>Daylength</t>
  </si>
  <si>
    <t>Astronomical Twilight</t>
  </si>
  <si>
    <t>Nautical Twilight</t>
  </si>
  <si>
    <t>Civil Twilight</t>
  </si>
  <si>
    <t>Solar Noon</t>
  </si>
  <si>
    <t>Jan</t>
  </si>
  <si>
    <t>Sunrise</t>
  </si>
  <si>
    <t>Sunset</t>
  </si>
  <si>
    <t>Length</t>
  </si>
  <si>
    <t>Diff.</t>
  </si>
  <si>
    <t>Start</t>
  </si>
  <si>
    <t>End</t>
  </si>
  <si>
    <t>Time</t>
  </si>
  <si>
    <t>Mil. mi</t>
  </si>
  <si>
    <r>
      <t>7:51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</si>
  <si>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r>
      <t>5:10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</si>
  <si>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t>+0:40</t>
  </si>
  <si>
    <r>
      <t>12:31 pm </t>
    </r>
    <r>
      <rPr>
        <sz val="9"/>
        <color rgb="FF777777"/>
        <rFont val="Arial"/>
        <family val="2"/>
      </rPr>
      <t>(26.3°)</t>
    </r>
  </si>
  <si>
    <r>
      <t>5:11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</si>
  <si>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t>+0:44</t>
  </si>
  <si>
    <r>
      <t>12:31 pm </t>
    </r>
    <r>
      <rPr>
        <sz val="9"/>
        <color rgb="FF777777"/>
        <rFont val="Arial"/>
        <family val="2"/>
      </rPr>
      <t>(26.4°)</t>
    </r>
  </si>
  <si>
    <r>
      <t>5:12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</si>
  <si>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t>+0:48</t>
  </si>
  <si>
    <r>
      <t>5:13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</si>
  <si>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t>+0:52</t>
  </si>
  <si>
    <r>
      <t>12:32 pm </t>
    </r>
    <r>
      <rPr>
        <sz val="9"/>
        <color rgb="FF777777"/>
        <rFont val="Arial"/>
        <family val="2"/>
      </rPr>
      <t>(26.6°)</t>
    </r>
  </si>
  <si>
    <t>+0:55</t>
  </si>
  <si>
    <r>
      <t>12:32 pm </t>
    </r>
    <r>
      <rPr>
        <sz val="9"/>
        <color rgb="FF777777"/>
        <rFont val="Arial"/>
        <family val="2"/>
      </rPr>
      <t>(26.7°)</t>
    </r>
  </si>
  <si>
    <r>
      <t>5:14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(241°)</t>
    </r>
  </si>
  <si>
    <t>+0:59</t>
  </si>
  <si>
    <r>
      <t>12:33 pm </t>
    </r>
    <r>
      <rPr>
        <sz val="9"/>
        <color rgb="FF777777"/>
        <rFont val="Arial"/>
        <family val="2"/>
      </rPr>
      <t>(26.8°)</t>
    </r>
  </si>
  <si>
    <r>
      <t>7:51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(119°)</t>
    </r>
  </si>
  <si>
    <r>
      <t>5:15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(241°)</t>
    </r>
  </si>
  <si>
    <t>+1:03</t>
  </si>
  <si>
    <r>
      <t>12:33 pm </t>
    </r>
    <r>
      <rPr>
        <sz val="9"/>
        <color rgb="FF777777"/>
        <rFont val="Arial"/>
        <family val="2"/>
      </rPr>
      <t>(26.9°)</t>
    </r>
  </si>
  <si>
    <r>
      <t>5:16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(241°)</t>
    </r>
  </si>
  <si>
    <t>+1:06</t>
  </si>
  <si>
    <r>
      <t>12:34 pm </t>
    </r>
    <r>
      <rPr>
        <sz val="9"/>
        <color rgb="FF777777"/>
        <rFont val="Arial"/>
        <family val="2"/>
      </rPr>
      <t>(27.0°)</t>
    </r>
  </si>
  <si>
    <r>
      <t>5:17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(241°)</t>
    </r>
  </si>
  <si>
    <t>+1:10</t>
  </si>
  <si>
    <r>
      <t>12:34 pm </t>
    </r>
    <r>
      <rPr>
        <sz val="9"/>
        <color rgb="FF777777"/>
        <rFont val="Arial"/>
        <family val="2"/>
      </rPr>
      <t>(27.2°)</t>
    </r>
  </si>
  <si>
    <r>
      <t>5:18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(241°)</t>
    </r>
  </si>
  <si>
    <t>+1:13</t>
  </si>
  <si>
    <r>
      <t>12:35 pm </t>
    </r>
    <r>
      <rPr>
        <sz val="9"/>
        <color rgb="FF777777"/>
        <rFont val="Arial"/>
        <family val="2"/>
      </rPr>
      <t>(27.3°)</t>
    </r>
  </si>
  <si>
    <r>
      <t>5:19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</si>
  <si>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t>+1:16</t>
  </si>
  <si>
    <r>
      <t>12:35 pm </t>
    </r>
    <r>
      <rPr>
        <sz val="9"/>
        <color rgb="FF777777"/>
        <rFont val="Arial"/>
        <family val="2"/>
      </rPr>
      <t>(27.5°)</t>
    </r>
  </si>
  <si>
    <r>
      <t>7:50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</si>
  <si>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r>
      <t>5:21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</si>
  <si>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t>+1:20</t>
  </si>
  <si>
    <r>
      <t>12:35 pm </t>
    </r>
    <r>
      <rPr>
        <sz val="9"/>
        <color rgb="FF777777"/>
        <rFont val="Arial"/>
        <family val="2"/>
      </rPr>
      <t>(27.6°)</t>
    </r>
  </si>
  <si>
    <r>
      <t>5:22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</si>
  <si>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t>+1:23</t>
  </si>
  <si>
    <r>
      <t>12:36 pm </t>
    </r>
    <r>
      <rPr>
        <sz val="9"/>
        <color rgb="FF777777"/>
        <rFont val="Arial"/>
        <family val="2"/>
      </rPr>
      <t>(27.8°)</t>
    </r>
  </si>
  <si>
    <r>
      <t>5:23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</si>
  <si>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t>+1:26</t>
  </si>
  <si>
    <r>
      <t>12:36 pm </t>
    </r>
    <r>
      <rPr>
        <sz val="9"/>
        <color rgb="FF777777"/>
        <rFont val="Arial"/>
        <family val="2"/>
      </rPr>
      <t>(28.0°)</t>
    </r>
  </si>
  <si>
    <r>
      <t>7:49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</si>
  <si>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r>
      <t>5:24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</si>
  <si>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t>+1:29</t>
  </si>
  <si>
    <r>
      <t>12:36 pm </t>
    </r>
    <r>
      <rPr>
        <sz val="9"/>
        <color rgb="FF777777"/>
        <rFont val="Arial"/>
        <family val="2"/>
      </rPr>
      <t>(28.1°)</t>
    </r>
  </si>
  <si>
    <r>
      <t>7:49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(117°)</t>
    </r>
  </si>
  <si>
    <r>
      <t>5:25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(243°)</t>
    </r>
  </si>
  <si>
    <t>+1:32</t>
  </si>
  <si>
    <r>
      <t>12:37 pm </t>
    </r>
    <r>
      <rPr>
        <sz val="9"/>
        <color rgb="FF777777"/>
        <rFont val="Arial"/>
        <family val="2"/>
      </rPr>
      <t>(28.3°)</t>
    </r>
  </si>
  <si>
    <r>
      <t>7:48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(117°)</t>
    </r>
  </si>
  <si>
    <r>
      <t>5:26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(243°)</t>
    </r>
  </si>
  <si>
    <t>+1:35</t>
  </si>
  <si>
    <r>
      <t>12:37 pm </t>
    </r>
    <r>
      <rPr>
        <sz val="9"/>
        <color rgb="FF777777"/>
        <rFont val="Arial"/>
        <family val="2"/>
      </rPr>
      <t>(28.5°)</t>
    </r>
  </si>
  <si>
    <r>
      <t>5:27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(243°)</t>
    </r>
  </si>
  <si>
    <t>+1:38</t>
  </si>
  <si>
    <r>
      <t>12:37 pm </t>
    </r>
    <r>
      <rPr>
        <sz val="9"/>
        <color rgb="FF777777"/>
        <rFont val="Arial"/>
        <family val="2"/>
      </rPr>
      <t>(28.7°)</t>
    </r>
  </si>
  <si>
    <r>
      <t>7:47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(117°)</t>
    </r>
  </si>
  <si>
    <r>
      <t>5:28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</si>
  <si>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t>+1:41</t>
  </si>
  <si>
    <r>
      <t>12:38 pm </t>
    </r>
    <r>
      <rPr>
        <sz val="9"/>
        <color rgb="FF777777"/>
        <rFont val="Arial"/>
        <family val="2"/>
      </rPr>
      <t>(28.9°)</t>
    </r>
  </si>
  <si>
    <r>
      <t>7:47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(116°)</t>
    </r>
  </si>
  <si>
    <r>
      <t>5:30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</si>
  <si>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t>+1:43</t>
  </si>
  <si>
    <r>
      <t>12:38 pm </t>
    </r>
    <r>
      <rPr>
        <sz val="9"/>
        <color rgb="FF777777"/>
        <rFont val="Arial"/>
        <family val="2"/>
      </rPr>
      <t>(29.2°)</t>
    </r>
  </si>
  <si>
    <r>
      <t>7:46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(116°)</t>
    </r>
  </si>
  <si>
    <r>
      <t>5:31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</si>
  <si>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t>+1:46</t>
  </si>
  <si>
    <r>
      <t>12:38 pm </t>
    </r>
    <r>
      <rPr>
        <sz val="9"/>
        <color rgb="FF777777"/>
        <rFont val="Arial"/>
        <family val="2"/>
      </rPr>
      <t>(29.4°)</t>
    </r>
  </si>
  <si>
    <r>
      <t>5:32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</si>
  <si>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t>+1:49</t>
  </si>
  <si>
    <r>
      <t>12:39 pm </t>
    </r>
    <r>
      <rPr>
        <sz val="9"/>
        <color rgb="FF777777"/>
        <rFont val="Arial"/>
        <family val="2"/>
      </rPr>
      <t>(29.6°)</t>
    </r>
  </si>
  <si>
    <r>
      <t>7:45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(115°)</t>
    </r>
  </si>
  <si>
    <r>
      <t>5:33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(245°)</t>
    </r>
  </si>
  <si>
    <t>+1:51</t>
  </si>
  <si>
    <r>
      <t>12:39 pm </t>
    </r>
    <r>
      <rPr>
        <sz val="9"/>
        <color rgb="FF777777"/>
        <rFont val="Arial"/>
        <family val="2"/>
      </rPr>
      <t>(29.8°)</t>
    </r>
  </si>
  <si>
    <r>
      <t>7:44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(115°)</t>
    </r>
  </si>
  <si>
    <r>
      <t>5:34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(245°)</t>
    </r>
  </si>
  <si>
    <t>+1:54</t>
  </si>
  <si>
    <r>
      <t>12:39 pm </t>
    </r>
    <r>
      <rPr>
        <sz val="9"/>
        <color rgb="FF777777"/>
        <rFont val="Arial"/>
        <family val="2"/>
      </rPr>
      <t>(30.1°)</t>
    </r>
  </si>
  <si>
    <r>
      <t>7:43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(115°)</t>
    </r>
  </si>
  <si>
    <r>
      <t>5:36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(245°)</t>
    </r>
  </si>
  <si>
    <t>+1:56</t>
  </si>
  <si>
    <r>
      <t>12:39 pm </t>
    </r>
    <r>
      <rPr>
        <sz val="9"/>
        <color rgb="FF777777"/>
        <rFont val="Arial"/>
        <family val="2"/>
      </rPr>
      <t>(30.3°)</t>
    </r>
  </si>
  <si>
    <r>
      <t>7:43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(114°)</t>
    </r>
  </si>
  <si>
    <r>
      <t>5:37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(246°)</t>
    </r>
  </si>
  <si>
    <t>+1:58</t>
  </si>
  <si>
    <r>
      <t>12:40 pm </t>
    </r>
    <r>
      <rPr>
        <sz val="9"/>
        <color rgb="FF777777"/>
        <rFont val="Arial"/>
        <family val="2"/>
      </rPr>
      <t>(30.6°)</t>
    </r>
  </si>
  <si>
    <r>
      <t>7:42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(114°)</t>
    </r>
  </si>
  <si>
    <r>
      <t>5:38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(246°)</t>
    </r>
  </si>
  <si>
    <t>+2:00</t>
  </si>
  <si>
    <r>
      <t>12:40 pm </t>
    </r>
    <r>
      <rPr>
        <sz val="9"/>
        <color rgb="FF777777"/>
        <rFont val="Arial"/>
        <family val="2"/>
      </rPr>
      <t>(30.8°)</t>
    </r>
  </si>
  <si>
    <r>
      <t>7:41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(114°)</t>
    </r>
  </si>
  <si>
    <r>
      <t>5:39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(247°)</t>
    </r>
  </si>
  <si>
    <t>+2:03</t>
  </si>
  <si>
    <r>
      <t>12:40 pm </t>
    </r>
    <r>
      <rPr>
        <sz val="9"/>
        <color rgb="FF777777"/>
        <rFont val="Arial"/>
        <family val="2"/>
      </rPr>
      <t>(31.1°)</t>
    </r>
  </si>
  <si>
    <r>
      <t>7:40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(113°)</t>
    </r>
  </si>
  <si>
    <r>
      <t>5:40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(247°)</t>
    </r>
  </si>
  <si>
    <t>+2:05</t>
  </si>
  <si>
    <r>
      <t>12:40 pm </t>
    </r>
    <r>
      <rPr>
        <sz val="9"/>
        <color rgb="FF777777"/>
        <rFont val="Arial"/>
        <family val="2"/>
      </rPr>
      <t>(31.3°)</t>
    </r>
  </si>
  <si>
    <r>
      <t>7:39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(113°)</t>
    </r>
  </si>
  <si>
    <r>
      <t>5:42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(247°)</t>
    </r>
  </si>
  <si>
    <t>+2:07</t>
  </si>
  <si>
    <r>
      <t>12:40 pm </t>
    </r>
    <r>
      <rPr>
        <sz val="9"/>
        <color rgb="FF777777"/>
        <rFont val="Arial"/>
        <family val="2"/>
      </rPr>
      <t>(31.6°)</t>
    </r>
  </si>
  <si>
    <r>
      <t>7:38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(113°)</t>
    </r>
  </si>
  <si>
    <r>
      <t>5:43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(248°)</t>
    </r>
  </si>
  <si>
    <t>+2:09</t>
  </si>
  <si>
    <r>
      <t>12:40 pm </t>
    </r>
    <r>
      <rPr>
        <sz val="9"/>
        <color rgb="FF777777"/>
        <rFont val="Arial"/>
        <family val="2"/>
      </rPr>
      <t>(31.9°)</t>
    </r>
  </si>
  <si>
    <t>Feb</t>
  </si>
  <si>
    <r>
      <t>7:37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(112°)</t>
    </r>
  </si>
  <si>
    <r>
      <t>5:44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(248°)</t>
    </r>
  </si>
  <si>
    <t>+2:10</t>
  </si>
  <si>
    <r>
      <t>12:41 pm </t>
    </r>
    <r>
      <rPr>
        <sz val="9"/>
        <color rgb="FF777777"/>
        <rFont val="Arial"/>
        <family val="2"/>
      </rPr>
      <t>(32.2°)</t>
    </r>
  </si>
  <si>
    <r>
      <t>5:45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(248°)</t>
    </r>
  </si>
  <si>
    <t>+2:12</t>
  </si>
  <si>
    <r>
      <t>12:41 pm </t>
    </r>
    <r>
      <rPr>
        <sz val="9"/>
        <color rgb="FF777777"/>
        <rFont val="Arial"/>
        <family val="2"/>
      </rPr>
      <t>(32.5°)</t>
    </r>
  </si>
  <si>
    <r>
      <t>7:36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(111°)</t>
    </r>
  </si>
  <si>
    <r>
      <t>5:47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(249°)</t>
    </r>
  </si>
  <si>
    <t>+2:14</t>
  </si>
  <si>
    <r>
      <t>12:41 pm </t>
    </r>
    <r>
      <rPr>
        <sz val="9"/>
        <color rgb="FF777777"/>
        <rFont val="Arial"/>
        <family val="2"/>
      </rPr>
      <t>(32.7°)</t>
    </r>
  </si>
  <si>
    <r>
      <t>7:34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(111°)</t>
    </r>
  </si>
  <si>
    <r>
      <t>5:48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(249°)</t>
    </r>
  </si>
  <si>
    <t>+2:16</t>
  </si>
  <si>
    <r>
      <t>12:41 pm </t>
    </r>
    <r>
      <rPr>
        <sz val="9"/>
        <color rgb="FF777777"/>
        <rFont val="Arial"/>
        <family val="2"/>
      </rPr>
      <t>(33.0°)</t>
    </r>
  </si>
  <si>
    <r>
      <t>7:33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(111°)</t>
    </r>
  </si>
  <si>
    <r>
      <t>5:49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(250°)</t>
    </r>
  </si>
  <si>
    <t>+2:17</t>
  </si>
  <si>
    <r>
      <t>12:41 pm </t>
    </r>
    <r>
      <rPr>
        <sz val="9"/>
        <color rgb="FF777777"/>
        <rFont val="Arial"/>
        <family val="2"/>
      </rPr>
      <t>(33.3°)</t>
    </r>
  </si>
  <si>
    <r>
      <t>7:32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(110°)</t>
    </r>
  </si>
  <si>
    <r>
      <t>5:50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(250°)</t>
    </r>
  </si>
  <si>
    <t>+2:19</t>
  </si>
  <si>
    <r>
      <t>12:41 pm </t>
    </r>
    <r>
      <rPr>
        <sz val="9"/>
        <color rgb="FF777777"/>
        <rFont val="Arial"/>
        <family val="2"/>
      </rPr>
      <t>(33.7°)</t>
    </r>
  </si>
  <si>
    <r>
      <t>7:31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(110°)</t>
    </r>
  </si>
  <si>
    <r>
      <t>5:52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(250°)</t>
    </r>
  </si>
  <si>
    <t>+2:20</t>
  </si>
  <si>
    <r>
      <t>12:41 pm </t>
    </r>
    <r>
      <rPr>
        <sz val="9"/>
        <color rgb="FF777777"/>
        <rFont val="Arial"/>
        <family val="2"/>
      </rPr>
      <t>(34.0°)</t>
    </r>
  </si>
  <si>
    <r>
      <t>7:30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(109°)</t>
    </r>
  </si>
  <si>
    <r>
      <t>5:53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(251°)</t>
    </r>
  </si>
  <si>
    <t>+2:21</t>
  </si>
  <si>
    <r>
      <t>12:41 pm </t>
    </r>
    <r>
      <rPr>
        <sz val="9"/>
        <color rgb="FF777777"/>
        <rFont val="Arial"/>
        <family val="2"/>
      </rPr>
      <t>(34.3°)</t>
    </r>
  </si>
  <si>
    <r>
      <t>7:29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(109°)</t>
    </r>
  </si>
  <si>
    <r>
      <t>5:54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(251°)</t>
    </r>
  </si>
  <si>
    <t>+2:23</t>
  </si>
  <si>
    <r>
      <t>12:41 pm </t>
    </r>
    <r>
      <rPr>
        <sz val="9"/>
        <color rgb="FF777777"/>
        <rFont val="Arial"/>
        <family val="2"/>
      </rPr>
      <t>(34.6°)</t>
    </r>
  </si>
  <si>
    <r>
      <t>7:28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(108°)</t>
    </r>
  </si>
  <si>
    <r>
      <t>5:55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(252°)</t>
    </r>
  </si>
  <si>
    <t>+2:24</t>
  </si>
  <si>
    <r>
      <t>12:41 pm </t>
    </r>
    <r>
      <rPr>
        <sz val="9"/>
        <color rgb="FF777777"/>
        <rFont val="Arial"/>
        <family val="2"/>
      </rPr>
      <t>(34.9°)</t>
    </r>
  </si>
  <si>
    <r>
      <t>7:27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(108°)</t>
    </r>
  </si>
  <si>
    <r>
      <t>5:57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(252°)</t>
    </r>
  </si>
  <si>
    <t>+2:25</t>
  </si>
  <si>
    <r>
      <t>12:41 pm </t>
    </r>
    <r>
      <rPr>
        <sz val="9"/>
        <color rgb="FF777777"/>
        <rFont val="Arial"/>
        <family val="2"/>
      </rPr>
      <t>(35.2°)</t>
    </r>
  </si>
  <si>
    <r>
      <t>7:25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(108°)</t>
    </r>
  </si>
  <si>
    <r>
      <t>5:58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(253°)</t>
    </r>
  </si>
  <si>
    <t>+2:26</t>
  </si>
  <si>
    <r>
      <t>12:41 pm </t>
    </r>
    <r>
      <rPr>
        <sz val="9"/>
        <color rgb="FF777777"/>
        <rFont val="Arial"/>
        <family val="2"/>
      </rPr>
      <t>(35.6°)</t>
    </r>
  </si>
  <si>
    <r>
      <t>7:24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(107°)</t>
    </r>
  </si>
  <si>
    <r>
      <t>5:59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(253°)</t>
    </r>
  </si>
  <si>
    <t>+2:28</t>
  </si>
  <si>
    <r>
      <t>12:41 pm </t>
    </r>
    <r>
      <rPr>
        <sz val="9"/>
        <color rgb="FF777777"/>
        <rFont val="Arial"/>
        <family val="2"/>
      </rPr>
      <t>(35.9°)</t>
    </r>
  </si>
  <si>
    <r>
      <t>7:23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(107°)</t>
    </r>
  </si>
  <si>
    <r>
      <t>6:00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(254°)</t>
    </r>
  </si>
  <si>
    <t>+2:29</t>
  </si>
  <si>
    <r>
      <t>12:41 pm </t>
    </r>
    <r>
      <rPr>
        <sz val="9"/>
        <color rgb="FF777777"/>
        <rFont val="Arial"/>
        <family val="2"/>
      </rPr>
      <t>(36.3°)</t>
    </r>
  </si>
  <si>
    <r>
      <t>7:22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(106°)</t>
    </r>
  </si>
  <si>
    <r>
      <t>6:01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(254°)</t>
    </r>
  </si>
  <si>
    <t>+2:30</t>
  </si>
  <si>
    <r>
      <t>12:41 pm </t>
    </r>
    <r>
      <rPr>
        <sz val="9"/>
        <color rgb="FF777777"/>
        <rFont val="Arial"/>
        <family val="2"/>
      </rPr>
      <t>(36.6°)</t>
    </r>
  </si>
  <si>
    <r>
      <t>7:20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(106°)</t>
    </r>
  </si>
  <si>
    <r>
      <t>6:03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(254°)</t>
    </r>
  </si>
  <si>
    <t>+2:31</t>
  </si>
  <si>
    <r>
      <t>12:41 pm </t>
    </r>
    <r>
      <rPr>
        <sz val="9"/>
        <color rgb="FF777777"/>
        <rFont val="Arial"/>
        <family val="2"/>
      </rPr>
      <t>(36.9°)</t>
    </r>
  </si>
  <si>
    <r>
      <t>7:19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(105°)</t>
    </r>
  </si>
  <si>
    <r>
      <t>6:04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(255°)</t>
    </r>
  </si>
  <si>
    <r>
      <t>12:41 pm </t>
    </r>
    <r>
      <rPr>
        <sz val="9"/>
        <color rgb="FF777777"/>
        <rFont val="Arial"/>
        <family val="2"/>
      </rPr>
      <t>(37.3°)</t>
    </r>
  </si>
  <si>
    <r>
      <t>7:18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(105°)</t>
    </r>
  </si>
  <si>
    <r>
      <t>6:05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(255°)</t>
    </r>
  </si>
  <si>
    <t>+2:32</t>
  </si>
  <si>
    <r>
      <t>12:41 pm </t>
    </r>
    <r>
      <rPr>
        <sz val="9"/>
        <color rgb="FF777777"/>
        <rFont val="Arial"/>
        <family val="2"/>
      </rPr>
      <t>(37.6°)</t>
    </r>
  </si>
  <si>
    <r>
      <t>7:16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(104°)</t>
    </r>
  </si>
  <si>
    <r>
      <t>6:06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(256°)</t>
    </r>
  </si>
  <si>
    <t>+2:33</t>
  </si>
  <si>
    <r>
      <t>12:41 pm </t>
    </r>
    <r>
      <rPr>
        <sz val="9"/>
        <color rgb="FF777777"/>
        <rFont val="Arial"/>
        <family val="2"/>
      </rPr>
      <t>(38.0°)</t>
    </r>
  </si>
  <si>
    <r>
      <t>7:15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(104°)</t>
    </r>
  </si>
  <si>
    <r>
      <t>6:07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(256°)</t>
    </r>
  </si>
  <si>
    <t>+2:34</t>
  </si>
  <si>
    <r>
      <t>12:41 pm </t>
    </r>
    <r>
      <rPr>
        <sz val="9"/>
        <color rgb="FF777777"/>
        <rFont val="Arial"/>
        <family val="2"/>
      </rPr>
      <t>(38.3°)</t>
    </r>
  </si>
  <si>
    <r>
      <t>7:13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(103°)</t>
    </r>
  </si>
  <si>
    <r>
      <t>6:09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(257°)</t>
    </r>
  </si>
  <si>
    <t>+2:35</t>
  </si>
  <si>
    <r>
      <t>12:41 pm </t>
    </r>
    <r>
      <rPr>
        <sz val="9"/>
        <color rgb="FF777777"/>
        <rFont val="Arial"/>
        <family val="2"/>
      </rPr>
      <t>(38.7°)</t>
    </r>
  </si>
  <si>
    <r>
      <t>7:12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(103°)</t>
    </r>
  </si>
  <si>
    <r>
      <t>6:10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(257°)</t>
    </r>
  </si>
  <si>
    <r>
      <t>12:41 pm </t>
    </r>
    <r>
      <rPr>
        <sz val="9"/>
        <color rgb="FF777777"/>
        <rFont val="Arial"/>
        <family val="2"/>
      </rPr>
      <t>(39.1°)</t>
    </r>
  </si>
  <si>
    <r>
      <t>7:11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(102°)</t>
    </r>
  </si>
  <si>
    <r>
      <t>6:11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(258°)</t>
    </r>
  </si>
  <si>
    <t>+2:36</t>
  </si>
  <si>
    <r>
      <t>12:40 pm </t>
    </r>
    <r>
      <rPr>
        <sz val="9"/>
        <color rgb="FF777777"/>
        <rFont val="Arial"/>
        <family val="2"/>
      </rPr>
      <t>(39.4°)</t>
    </r>
  </si>
  <si>
    <r>
      <t>7:09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(102°)</t>
    </r>
  </si>
  <si>
    <r>
      <t>6:12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(258°)</t>
    </r>
  </si>
  <si>
    <t>+2:37</t>
  </si>
  <si>
    <r>
      <t>12:40 pm </t>
    </r>
    <r>
      <rPr>
        <sz val="9"/>
        <color rgb="FF777777"/>
        <rFont val="Arial"/>
        <family val="2"/>
      </rPr>
      <t>(39.8°)</t>
    </r>
  </si>
  <si>
    <r>
      <t>7:08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(101°)</t>
    </r>
  </si>
  <si>
    <r>
      <t>6:13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(259°)</t>
    </r>
  </si>
  <si>
    <r>
      <t>12:40 pm </t>
    </r>
    <r>
      <rPr>
        <sz val="9"/>
        <color rgb="FF777777"/>
        <rFont val="Arial"/>
        <family val="2"/>
      </rPr>
      <t>(40.2°)</t>
    </r>
  </si>
  <si>
    <r>
      <t>7:06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(101°)</t>
    </r>
  </si>
  <si>
    <r>
      <t>6:14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(259°)</t>
    </r>
  </si>
  <si>
    <t>+2:38</t>
  </si>
  <si>
    <r>
      <t>12:40 pm </t>
    </r>
    <r>
      <rPr>
        <sz val="9"/>
        <color rgb="FF777777"/>
        <rFont val="Arial"/>
        <family val="2"/>
      </rPr>
      <t>(40.5°)</t>
    </r>
  </si>
  <si>
    <r>
      <t>7:05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(100°)</t>
    </r>
  </si>
  <si>
    <r>
      <t>6:16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(260°)</t>
    </r>
  </si>
  <si>
    <r>
      <t>12:40 pm </t>
    </r>
    <r>
      <rPr>
        <sz val="9"/>
        <color rgb="FF777777"/>
        <rFont val="Arial"/>
        <family val="2"/>
      </rPr>
      <t>(40.9°)</t>
    </r>
  </si>
  <si>
    <r>
      <t>7:03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(100°)</t>
    </r>
  </si>
  <si>
    <r>
      <t>6:17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(260°)</t>
    </r>
  </si>
  <si>
    <t>+2:39</t>
  </si>
  <si>
    <r>
      <t>12:40 pm </t>
    </r>
    <r>
      <rPr>
        <sz val="9"/>
        <color rgb="FF777777"/>
        <rFont val="Arial"/>
        <family val="2"/>
      </rPr>
      <t>(41.3°)</t>
    </r>
  </si>
  <si>
    <r>
      <t>7:02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(99°)</t>
    </r>
  </si>
  <si>
    <r>
      <t>6:18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(261°)</t>
    </r>
  </si>
  <si>
    <r>
      <t>12:39 pm </t>
    </r>
    <r>
      <rPr>
        <sz val="9"/>
        <color rgb="FF777777"/>
        <rFont val="Arial"/>
        <family val="2"/>
      </rPr>
      <t>(41.7°)</t>
    </r>
  </si>
  <si>
    <t>Mar</t>
  </si>
  <si>
    <r>
      <t>7:00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(99°)</t>
    </r>
  </si>
  <si>
    <r>
      <t>6:19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(261°)</t>
    </r>
  </si>
  <si>
    <t>+2:40</t>
  </si>
  <si>
    <r>
      <t>12:39 pm </t>
    </r>
    <r>
      <rPr>
        <sz val="9"/>
        <color rgb="FF777777"/>
        <rFont val="Arial"/>
        <family val="2"/>
      </rPr>
      <t>(42.1°)</t>
    </r>
  </si>
  <si>
    <r>
      <t>6:59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(98°)</t>
    </r>
  </si>
  <si>
    <r>
      <t>6:20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(262°)</t>
    </r>
  </si>
  <si>
    <r>
      <t>12:39 pm </t>
    </r>
    <r>
      <rPr>
        <sz val="9"/>
        <color rgb="FF777777"/>
        <rFont val="Arial"/>
        <family val="2"/>
      </rPr>
      <t>(42.4°)</t>
    </r>
  </si>
  <si>
    <r>
      <t>6:57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(98°)</t>
    </r>
  </si>
  <si>
    <r>
      <t>6:21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(262°)</t>
    </r>
  </si>
  <si>
    <r>
      <t>12:39 pm </t>
    </r>
    <r>
      <rPr>
        <sz val="9"/>
        <color rgb="FF777777"/>
        <rFont val="Arial"/>
        <family val="2"/>
      </rPr>
      <t>(42.8°)</t>
    </r>
  </si>
  <si>
    <r>
      <t>6:55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(97°)</t>
    </r>
  </si>
  <si>
    <r>
      <t>6:22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(263°)</t>
    </r>
  </si>
  <si>
    <t>+2:41</t>
  </si>
  <si>
    <r>
      <t>12:39 pm </t>
    </r>
    <r>
      <rPr>
        <sz val="9"/>
        <color rgb="FF777777"/>
        <rFont val="Arial"/>
        <family val="2"/>
      </rPr>
      <t>(43.2°)</t>
    </r>
  </si>
  <si>
    <r>
      <t>6:54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(97°)</t>
    </r>
  </si>
  <si>
    <r>
      <t>6:23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(263°)</t>
    </r>
  </si>
  <si>
    <r>
      <t>12:38 pm </t>
    </r>
    <r>
      <rPr>
        <sz val="9"/>
        <color rgb="FF777777"/>
        <rFont val="Arial"/>
        <family val="2"/>
      </rPr>
      <t>(43.6°)</t>
    </r>
  </si>
  <si>
    <r>
      <t>6:52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(96°)</t>
    </r>
  </si>
  <si>
    <r>
      <t>6:25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(264°)</t>
    </r>
  </si>
  <si>
    <r>
      <t>12:38 pm </t>
    </r>
    <r>
      <rPr>
        <sz val="9"/>
        <color rgb="FF777777"/>
        <rFont val="Arial"/>
        <family val="2"/>
      </rPr>
      <t>(44.0°)</t>
    </r>
  </si>
  <si>
    <r>
      <t>6:51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(96°)</t>
    </r>
  </si>
  <si>
    <r>
      <t>6:26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(264°)</t>
    </r>
  </si>
  <si>
    <t>+2:42</t>
  </si>
  <si>
    <r>
      <t>12:38 pm </t>
    </r>
    <r>
      <rPr>
        <sz val="9"/>
        <color rgb="FF777777"/>
        <rFont val="Arial"/>
        <family val="2"/>
      </rPr>
      <t>(44.4°)</t>
    </r>
  </si>
  <si>
    <r>
      <t>6:49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(95°)</t>
    </r>
  </si>
  <si>
    <r>
      <t>6:27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(265°)</t>
    </r>
  </si>
  <si>
    <r>
      <t>12:38 pm </t>
    </r>
    <r>
      <rPr>
        <sz val="9"/>
        <color rgb="FF777777"/>
        <rFont val="Arial"/>
        <family val="2"/>
      </rPr>
      <t>(44.8°)</t>
    </r>
  </si>
  <si>
    <r>
      <t>6:48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(95°)</t>
    </r>
  </si>
  <si>
    <r>
      <t>6:28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(265°)</t>
    </r>
  </si>
  <si>
    <r>
      <t>12:37 pm </t>
    </r>
    <r>
      <rPr>
        <sz val="9"/>
        <color rgb="FF777777"/>
        <rFont val="Arial"/>
        <family val="2"/>
      </rPr>
      <t>(45.2°)</t>
    </r>
  </si>
  <si>
    <r>
      <t>6:46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(94°)</t>
    </r>
  </si>
  <si>
    <r>
      <t>6:29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(266°)</t>
    </r>
  </si>
  <si>
    <r>
      <t>12:37 pm </t>
    </r>
    <r>
      <rPr>
        <sz val="9"/>
        <color rgb="FF777777"/>
        <rFont val="Arial"/>
        <family val="2"/>
      </rPr>
      <t>(45.5°)</t>
    </r>
  </si>
  <si>
    <r>
      <t>6:44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(94°)</t>
    </r>
  </si>
  <si>
    <r>
      <t>6:30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(266°)</t>
    </r>
  </si>
  <si>
    <r>
      <t>12:37 pm </t>
    </r>
    <r>
      <rPr>
        <sz val="9"/>
        <color rgb="FF777777"/>
        <rFont val="Arial"/>
        <family val="2"/>
      </rPr>
      <t>(45.9°)</t>
    </r>
  </si>
  <si>
    <r>
      <t>6:43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(93°)</t>
    </r>
  </si>
  <si>
    <r>
      <t>6:31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(267°)</t>
    </r>
  </si>
  <si>
    <t>+2:43</t>
  </si>
  <si>
    <r>
      <t>12:37 pm </t>
    </r>
    <r>
      <rPr>
        <sz val="9"/>
        <color rgb="FF777777"/>
        <rFont val="Arial"/>
        <family val="2"/>
      </rPr>
      <t>(46.3°)</t>
    </r>
  </si>
  <si>
    <t>Note: hours shift because clocks change forward 1 hour. (See the note below this table for details)</t>
  </si>
  <si>
    <r>
      <t>7:41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(93°)</t>
    </r>
  </si>
  <si>
    <r>
      <t>7:32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(268°)</t>
    </r>
  </si>
  <si>
    <r>
      <t>1:36 pm </t>
    </r>
    <r>
      <rPr>
        <sz val="9"/>
        <color rgb="FF777777"/>
        <rFont val="Arial"/>
        <family val="2"/>
      </rPr>
      <t>(46.7°)</t>
    </r>
  </si>
  <si>
    <r>
      <t>7:39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(92°)</t>
    </r>
  </si>
  <si>
    <r>
      <t>7:33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(268°)</t>
    </r>
  </si>
  <si>
    <r>
      <t>1:36 pm </t>
    </r>
    <r>
      <rPr>
        <sz val="9"/>
        <color rgb="FF777777"/>
        <rFont val="Arial"/>
        <family val="2"/>
      </rPr>
      <t>(47.1°)</t>
    </r>
  </si>
  <si>
    <r>
      <t>7:38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(92°)</t>
    </r>
  </si>
  <si>
    <r>
      <t>7:34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(269°)</t>
    </r>
  </si>
  <si>
    <r>
      <t>1:36 pm </t>
    </r>
    <r>
      <rPr>
        <sz val="9"/>
        <color rgb="FF777777"/>
        <rFont val="Arial"/>
        <family val="2"/>
      </rPr>
      <t>(47.5°)</t>
    </r>
  </si>
  <si>
    <r>
      <t>7:36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(91°)</t>
    </r>
  </si>
  <si>
    <r>
      <t>7:36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(269°)</t>
    </r>
  </si>
  <si>
    <r>
      <t>1:35 pm </t>
    </r>
    <r>
      <rPr>
        <sz val="9"/>
        <color rgb="FF777777"/>
        <rFont val="Arial"/>
        <family val="2"/>
      </rPr>
      <t>(47.9°)</t>
    </r>
  </si>
  <si>
    <r>
      <t>7:34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(91°)</t>
    </r>
  </si>
  <si>
    <r>
      <t>7:37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(270°)</t>
    </r>
  </si>
  <si>
    <r>
      <t>1:35 pm </t>
    </r>
    <r>
      <rPr>
        <sz val="9"/>
        <color rgb="FF777777"/>
        <rFont val="Arial"/>
        <family val="2"/>
      </rPr>
      <t>(48.3°)</t>
    </r>
  </si>
  <si>
    <r>
      <t>7:33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(90°)</t>
    </r>
  </si>
  <si>
    <r>
      <t>7:38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(270°)</t>
    </r>
  </si>
  <si>
    <r>
      <t>1:35 pm </t>
    </r>
    <r>
      <rPr>
        <sz val="9"/>
        <color rgb="FF777777"/>
        <rFont val="Arial"/>
        <family val="2"/>
      </rPr>
      <t>(48.7°)</t>
    </r>
  </si>
  <si>
    <r>
      <t>7:31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(90°)</t>
    </r>
  </si>
  <si>
    <r>
      <t>7:39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(271°)</t>
    </r>
  </si>
  <si>
    <r>
      <t>1:35 pm </t>
    </r>
    <r>
      <rPr>
        <sz val="9"/>
        <color rgb="FF777777"/>
        <rFont val="Arial"/>
        <family val="2"/>
      </rPr>
      <t>(49.1°)</t>
    </r>
  </si>
  <si>
    <r>
      <t>7:29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(89°)</t>
    </r>
  </si>
  <si>
    <r>
      <t>7:40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(271°)</t>
    </r>
  </si>
  <si>
    <r>
      <t>1:34 pm </t>
    </r>
    <r>
      <rPr>
        <sz val="9"/>
        <color rgb="FF777777"/>
        <rFont val="Arial"/>
        <family val="2"/>
      </rPr>
      <t>(49.5°)</t>
    </r>
  </si>
  <si>
    <r>
      <t>7:28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(89°)</t>
    </r>
  </si>
  <si>
    <r>
      <t>7:41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(272°)</t>
    </r>
  </si>
  <si>
    <r>
      <t>1:34 pm </t>
    </r>
    <r>
      <rPr>
        <sz val="9"/>
        <color rgb="FF777777"/>
        <rFont val="Arial"/>
        <family val="2"/>
      </rPr>
      <t>(49.9°)</t>
    </r>
  </si>
  <si>
    <r>
      <t>7:26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(88°)</t>
    </r>
  </si>
  <si>
    <r>
      <t>7:42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(272°)</t>
    </r>
  </si>
  <si>
    <r>
      <t>1:34 pm </t>
    </r>
    <r>
      <rPr>
        <sz val="9"/>
        <color rgb="FF777777"/>
        <rFont val="Arial"/>
        <family val="2"/>
      </rPr>
      <t>(50.3°)</t>
    </r>
  </si>
  <si>
    <r>
      <t>7:25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(88°)</t>
    </r>
  </si>
  <si>
    <r>
      <t>7:43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(273°)</t>
    </r>
  </si>
  <si>
    <r>
      <t>1:33 pm </t>
    </r>
    <r>
      <rPr>
        <sz val="9"/>
        <color rgb="FF777777"/>
        <rFont val="Arial"/>
        <family val="2"/>
      </rPr>
      <t>(50.7°)</t>
    </r>
  </si>
  <si>
    <r>
      <t>7:23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(87°)</t>
    </r>
  </si>
  <si>
    <r>
      <t>7:44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(273°)</t>
    </r>
  </si>
  <si>
    <r>
      <t>1:33 pm </t>
    </r>
    <r>
      <rPr>
        <sz val="9"/>
        <color rgb="FF777777"/>
        <rFont val="Arial"/>
        <family val="2"/>
      </rPr>
      <t>(51.1°)</t>
    </r>
  </si>
  <si>
    <r>
      <t>7:21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(86°)</t>
    </r>
  </si>
  <si>
    <r>
      <t>7:45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(274°)</t>
    </r>
  </si>
  <si>
    <r>
      <t>1:33 pm </t>
    </r>
    <r>
      <rPr>
        <sz val="9"/>
        <color rgb="FF777777"/>
        <rFont val="Arial"/>
        <family val="2"/>
      </rPr>
      <t>(51.5°)</t>
    </r>
  </si>
  <si>
    <r>
      <t>7:20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(86°)</t>
    </r>
  </si>
  <si>
    <r>
      <t>7:46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(274°)</t>
    </r>
  </si>
  <si>
    <r>
      <t>1:32 pm </t>
    </r>
    <r>
      <rPr>
        <sz val="9"/>
        <color rgb="FF777777"/>
        <rFont val="Arial"/>
        <family val="2"/>
      </rPr>
      <t>(51.9°)</t>
    </r>
  </si>
  <si>
    <r>
      <t>7:18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(85°)</t>
    </r>
  </si>
  <si>
    <r>
      <t>7:47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(275°)</t>
    </r>
  </si>
  <si>
    <r>
      <t>1:32 pm </t>
    </r>
    <r>
      <rPr>
        <sz val="9"/>
        <color rgb="FF777777"/>
        <rFont val="Arial"/>
        <family val="2"/>
      </rPr>
      <t>(52.2°)</t>
    </r>
  </si>
  <si>
    <r>
      <t>7:16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(85°)</t>
    </r>
  </si>
  <si>
    <r>
      <t>7:48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(275°)</t>
    </r>
  </si>
  <si>
    <r>
      <t>1:32 pm </t>
    </r>
    <r>
      <rPr>
        <sz val="9"/>
        <color rgb="FF777777"/>
        <rFont val="Arial"/>
        <family val="2"/>
      </rPr>
      <t>(52.6°)</t>
    </r>
  </si>
  <si>
    <r>
      <t>7:15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(84°)</t>
    </r>
  </si>
  <si>
    <r>
      <t>7:49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(276°)</t>
    </r>
  </si>
  <si>
    <r>
      <t>1:32 pm </t>
    </r>
    <r>
      <rPr>
        <sz val="9"/>
        <color rgb="FF777777"/>
        <rFont val="Arial"/>
        <family val="2"/>
      </rPr>
      <t>(53.0°)</t>
    </r>
  </si>
  <si>
    <r>
      <t>7:13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(84°)</t>
    </r>
  </si>
  <si>
    <r>
      <t>7:50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(276°)</t>
    </r>
  </si>
  <si>
    <r>
      <t>1:31 pm </t>
    </r>
    <r>
      <rPr>
        <sz val="9"/>
        <color rgb="FF777777"/>
        <rFont val="Arial"/>
        <family val="2"/>
      </rPr>
      <t>(53.4°)</t>
    </r>
  </si>
  <si>
    <r>
      <t>7:11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(83°)</t>
    </r>
  </si>
  <si>
    <r>
      <t>7:51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(277°)</t>
    </r>
  </si>
  <si>
    <r>
      <t>1:31 pm </t>
    </r>
    <r>
      <rPr>
        <sz val="9"/>
        <color rgb="FF777777"/>
        <rFont val="Arial"/>
        <family val="2"/>
      </rPr>
      <t>(53.8°)</t>
    </r>
  </si>
  <si>
    <t>Apr</t>
  </si>
  <si>
    <r>
      <t>7:10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(83°)</t>
    </r>
  </si>
  <si>
    <r>
      <t>7:52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(277°)</t>
    </r>
  </si>
  <si>
    <r>
      <t>1:31 pm </t>
    </r>
    <r>
      <rPr>
        <sz val="9"/>
        <color rgb="FF777777"/>
        <rFont val="Arial"/>
        <family val="2"/>
      </rPr>
      <t>(54.2°)</t>
    </r>
  </si>
  <si>
    <r>
      <t>7:08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(82°)</t>
    </r>
  </si>
  <si>
    <r>
      <t>7:54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(278°)</t>
    </r>
  </si>
  <si>
    <r>
      <t>1:30 pm </t>
    </r>
    <r>
      <rPr>
        <sz val="9"/>
        <color rgb="FF777777"/>
        <rFont val="Arial"/>
        <family val="2"/>
      </rPr>
      <t>(54.6°)</t>
    </r>
  </si>
  <si>
    <r>
      <t>7:06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(82°)</t>
    </r>
  </si>
  <si>
    <r>
      <t>7:55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(278°)</t>
    </r>
  </si>
  <si>
    <r>
      <t>1:30 pm </t>
    </r>
    <r>
      <rPr>
        <sz val="9"/>
        <color rgb="FF777777"/>
        <rFont val="Arial"/>
        <family val="2"/>
      </rPr>
      <t>(54.9°)</t>
    </r>
  </si>
  <si>
    <r>
      <t>7:05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(81°)</t>
    </r>
  </si>
  <si>
    <r>
      <t>7:56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(279°)</t>
    </r>
  </si>
  <si>
    <r>
      <t>1:30 pm </t>
    </r>
    <r>
      <rPr>
        <sz val="9"/>
        <color rgb="FF777777"/>
        <rFont val="Arial"/>
        <family val="2"/>
      </rPr>
      <t>(55.3°)</t>
    </r>
  </si>
  <si>
    <r>
      <t>7:03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(81°)</t>
    </r>
  </si>
  <si>
    <r>
      <t>7:57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(279°)</t>
    </r>
  </si>
  <si>
    <r>
      <t>1:30 pm </t>
    </r>
    <r>
      <rPr>
        <sz val="9"/>
        <color rgb="FF777777"/>
        <rFont val="Arial"/>
        <family val="2"/>
      </rPr>
      <t>(55.7°)</t>
    </r>
  </si>
  <si>
    <r>
      <t>7:02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(80°)</t>
    </r>
  </si>
  <si>
    <r>
      <t>7:58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(280°)</t>
    </r>
  </si>
  <si>
    <r>
      <t>1:29 pm </t>
    </r>
    <r>
      <rPr>
        <sz val="9"/>
        <color rgb="FF777777"/>
        <rFont val="Arial"/>
        <family val="2"/>
      </rPr>
      <t>(56.1°)</t>
    </r>
  </si>
  <si>
    <r>
      <t>7:00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(80°)</t>
    </r>
  </si>
  <si>
    <r>
      <t>7:59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(280°)</t>
    </r>
  </si>
  <si>
    <r>
      <t>1:29 pm </t>
    </r>
    <r>
      <rPr>
        <sz val="9"/>
        <color rgb="FF777777"/>
        <rFont val="Arial"/>
        <family val="2"/>
      </rPr>
      <t>(56.5°)</t>
    </r>
  </si>
  <si>
    <r>
      <t>6:58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(79°)</t>
    </r>
  </si>
  <si>
    <r>
      <t>8:00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(281°)</t>
    </r>
  </si>
  <si>
    <r>
      <t>1:29 pm </t>
    </r>
    <r>
      <rPr>
        <sz val="9"/>
        <color rgb="FF777777"/>
        <rFont val="Arial"/>
        <family val="2"/>
      </rPr>
      <t>(56.8°)</t>
    </r>
  </si>
  <si>
    <r>
      <t>6:57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(79°)</t>
    </r>
  </si>
  <si>
    <r>
      <t>8:01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(281°)</t>
    </r>
  </si>
  <si>
    <r>
      <t>1:28 pm </t>
    </r>
    <r>
      <rPr>
        <sz val="9"/>
        <color rgb="FF777777"/>
        <rFont val="Arial"/>
        <family val="2"/>
      </rPr>
      <t>(57.2°)</t>
    </r>
  </si>
  <si>
    <r>
      <t>6:55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(78°)</t>
    </r>
  </si>
  <si>
    <r>
      <t>8:02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(282°)</t>
    </r>
  </si>
  <si>
    <r>
      <t>1:28 pm </t>
    </r>
    <r>
      <rPr>
        <sz val="9"/>
        <color rgb="FF777777"/>
        <rFont val="Arial"/>
        <family val="2"/>
      </rPr>
      <t>(57.6°)</t>
    </r>
  </si>
  <si>
    <r>
      <t>6:54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(78°)</t>
    </r>
  </si>
  <si>
    <r>
      <t>8:03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(282°)</t>
    </r>
  </si>
  <si>
    <r>
      <t>1:28 pm </t>
    </r>
    <r>
      <rPr>
        <sz val="9"/>
        <color rgb="FF777777"/>
        <rFont val="Arial"/>
        <family val="2"/>
      </rPr>
      <t>(57.9°)</t>
    </r>
  </si>
  <si>
    <r>
      <t>6:52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(77°)</t>
    </r>
  </si>
  <si>
    <r>
      <t>8:04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(283°)</t>
    </r>
  </si>
  <si>
    <r>
      <t>1:28 pm </t>
    </r>
    <r>
      <rPr>
        <sz val="9"/>
        <color rgb="FF777777"/>
        <rFont val="Arial"/>
        <family val="2"/>
      </rPr>
      <t>(58.3°)</t>
    </r>
  </si>
  <si>
    <r>
      <t>6:50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(77°)</t>
    </r>
  </si>
  <si>
    <r>
      <t>8:05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(283°)</t>
    </r>
  </si>
  <si>
    <r>
      <t>1:27 pm </t>
    </r>
    <r>
      <rPr>
        <sz val="9"/>
        <color rgb="FF777777"/>
        <rFont val="Arial"/>
        <family val="2"/>
      </rPr>
      <t>(58.7°)</t>
    </r>
  </si>
  <si>
    <r>
      <t>6:49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(76°)</t>
    </r>
  </si>
  <si>
    <r>
      <t>8:06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(284°)</t>
    </r>
  </si>
  <si>
    <r>
      <t>1:27 pm </t>
    </r>
    <r>
      <rPr>
        <sz val="9"/>
        <color rgb="FF777777"/>
        <rFont val="Arial"/>
        <family val="2"/>
      </rPr>
      <t>(59.0°)</t>
    </r>
  </si>
  <si>
    <r>
      <t>6:47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(76°)</t>
    </r>
  </si>
  <si>
    <r>
      <t>8:07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(284°)</t>
    </r>
  </si>
  <si>
    <r>
      <t>1:27 pm </t>
    </r>
    <r>
      <rPr>
        <sz val="9"/>
        <color rgb="FF777777"/>
        <rFont val="Arial"/>
        <family val="2"/>
      </rPr>
      <t>(59.4°)</t>
    </r>
  </si>
  <si>
    <r>
      <t>6:46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(75°)</t>
    </r>
  </si>
  <si>
    <r>
      <t>8:08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(285°)</t>
    </r>
  </si>
  <si>
    <r>
      <t>1:27 pm </t>
    </r>
    <r>
      <rPr>
        <sz val="9"/>
        <color rgb="FF777777"/>
        <rFont val="Arial"/>
        <family val="2"/>
      </rPr>
      <t>(59.7°)</t>
    </r>
  </si>
  <si>
    <r>
      <t>6:44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(75°)</t>
    </r>
  </si>
  <si>
    <r>
      <t>8:09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(285°)</t>
    </r>
  </si>
  <si>
    <r>
      <t>1:26 pm </t>
    </r>
    <r>
      <rPr>
        <sz val="9"/>
        <color rgb="FF777777"/>
        <rFont val="Arial"/>
        <family val="2"/>
      </rPr>
      <t>(60.1°)</t>
    </r>
  </si>
  <si>
    <r>
      <t>6:43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(75°)</t>
    </r>
  </si>
  <si>
    <r>
      <t>8:10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(286°)</t>
    </r>
  </si>
  <si>
    <r>
      <t>1:26 pm </t>
    </r>
    <r>
      <rPr>
        <sz val="9"/>
        <color rgb="FF777777"/>
        <rFont val="Arial"/>
        <family val="2"/>
      </rPr>
      <t>(60.4°)</t>
    </r>
  </si>
  <si>
    <r>
      <t>6:41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(74°)</t>
    </r>
  </si>
  <si>
    <r>
      <t>8:11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(286°)</t>
    </r>
  </si>
  <si>
    <r>
      <t>1:26 pm </t>
    </r>
    <r>
      <rPr>
        <sz val="9"/>
        <color rgb="FF777777"/>
        <rFont val="Arial"/>
        <family val="2"/>
      </rPr>
      <t>(60.8°)</t>
    </r>
  </si>
  <si>
    <r>
      <t>6:40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(74°)</t>
    </r>
  </si>
  <si>
    <r>
      <t>8:12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(287°)</t>
    </r>
  </si>
  <si>
    <r>
      <t>1:26 pm </t>
    </r>
    <r>
      <rPr>
        <sz val="9"/>
        <color rgb="FF777777"/>
        <rFont val="Arial"/>
        <family val="2"/>
      </rPr>
      <t>(61.1°)</t>
    </r>
  </si>
  <si>
    <r>
      <t>6:38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(73°)</t>
    </r>
  </si>
  <si>
    <r>
      <t>8:13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(287°)</t>
    </r>
  </si>
  <si>
    <r>
      <t>1:26 pm </t>
    </r>
    <r>
      <rPr>
        <sz val="9"/>
        <color rgb="FF777777"/>
        <rFont val="Arial"/>
        <family val="2"/>
      </rPr>
      <t>(61.4°)</t>
    </r>
  </si>
  <si>
    <r>
      <t>6:37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(73°)</t>
    </r>
  </si>
  <si>
    <r>
      <t>8:15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(288°)</t>
    </r>
  </si>
  <si>
    <r>
      <t>1:25 pm </t>
    </r>
    <r>
      <rPr>
        <sz val="9"/>
        <color rgb="FF777777"/>
        <rFont val="Arial"/>
        <family val="2"/>
      </rPr>
      <t>(61.8°)</t>
    </r>
  </si>
  <si>
    <r>
      <t>6:36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(72°)</t>
    </r>
  </si>
  <si>
    <r>
      <t>8:16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(288°)</t>
    </r>
  </si>
  <si>
    <r>
      <t>1:25 pm </t>
    </r>
    <r>
      <rPr>
        <sz val="9"/>
        <color rgb="FF777777"/>
        <rFont val="Arial"/>
        <family val="2"/>
      </rPr>
      <t>(62.1°)</t>
    </r>
  </si>
  <si>
    <r>
      <t>6:34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(72°)</t>
    </r>
  </si>
  <si>
    <r>
      <t>8:17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(288°)</t>
    </r>
  </si>
  <si>
    <t>+2:27</t>
  </si>
  <si>
    <r>
      <t>1:25 pm </t>
    </r>
    <r>
      <rPr>
        <sz val="9"/>
        <color rgb="FF777777"/>
        <rFont val="Arial"/>
        <family val="2"/>
      </rPr>
      <t>(62.4°)</t>
    </r>
  </si>
  <si>
    <r>
      <t>6:33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(71°)</t>
    </r>
  </si>
  <si>
    <r>
      <t>8:18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(289°)</t>
    </r>
  </si>
  <si>
    <r>
      <t>1:25 pm </t>
    </r>
    <r>
      <rPr>
        <sz val="9"/>
        <color rgb="FF777777"/>
        <rFont val="Arial"/>
        <family val="2"/>
      </rPr>
      <t>(62.8°)</t>
    </r>
  </si>
  <si>
    <r>
      <t>6:31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(71°)</t>
    </r>
  </si>
  <si>
    <r>
      <t>8:19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(289°)</t>
    </r>
  </si>
  <si>
    <r>
      <t>1:25 pm </t>
    </r>
    <r>
      <rPr>
        <sz val="9"/>
        <color rgb="FF777777"/>
        <rFont val="Arial"/>
        <family val="2"/>
      </rPr>
      <t>(63.1°)</t>
    </r>
  </si>
  <si>
    <r>
      <t>6:30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(71°)</t>
    </r>
  </si>
  <si>
    <r>
      <t>8:20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(290°)</t>
    </r>
  </si>
  <si>
    <r>
      <t>1:25 pm </t>
    </r>
    <r>
      <rPr>
        <sz val="9"/>
        <color rgb="FF777777"/>
        <rFont val="Arial"/>
        <family val="2"/>
      </rPr>
      <t>(63.4°)</t>
    </r>
  </si>
  <si>
    <r>
      <t>6:29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(70°)</t>
    </r>
  </si>
  <si>
    <r>
      <t>8:21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(290°)</t>
    </r>
  </si>
  <si>
    <t>+2:22</t>
  </si>
  <si>
    <r>
      <t>1:24 pm </t>
    </r>
    <r>
      <rPr>
        <sz val="9"/>
        <color rgb="FF777777"/>
        <rFont val="Arial"/>
        <family val="2"/>
      </rPr>
      <t>(63.7°)</t>
    </r>
  </si>
  <si>
    <r>
      <t>6:27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(70°)</t>
    </r>
  </si>
  <si>
    <r>
      <t>8:22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(291°)</t>
    </r>
  </si>
  <si>
    <r>
      <t>1:24 pm </t>
    </r>
    <r>
      <rPr>
        <sz val="9"/>
        <color rgb="FF777777"/>
        <rFont val="Arial"/>
        <family val="2"/>
      </rPr>
      <t>(64.0°)</t>
    </r>
  </si>
  <si>
    <r>
      <t>6:26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(69°)</t>
    </r>
  </si>
  <si>
    <r>
      <t>8:23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(291°)</t>
    </r>
  </si>
  <si>
    <r>
      <t>1:24 pm </t>
    </r>
    <r>
      <rPr>
        <sz val="9"/>
        <color rgb="FF777777"/>
        <rFont val="Arial"/>
        <family val="2"/>
      </rPr>
      <t>(64.3°)</t>
    </r>
  </si>
  <si>
    <r>
      <t>6:25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(69°)</t>
    </r>
  </si>
  <si>
    <r>
      <t>8:24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(291°)</t>
    </r>
  </si>
  <si>
    <r>
      <t>1:24 pm </t>
    </r>
    <r>
      <rPr>
        <sz val="9"/>
        <color rgb="FF777777"/>
        <rFont val="Arial"/>
        <family val="2"/>
      </rPr>
      <t>(64.6°)</t>
    </r>
  </si>
  <si>
    <r>
      <t>6:24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(68°)</t>
    </r>
  </si>
  <si>
    <r>
      <t>8:25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(292°)</t>
    </r>
  </si>
  <si>
    <r>
      <t>1:24 pm </t>
    </r>
    <r>
      <rPr>
        <sz val="9"/>
        <color rgb="FF777777"/>
        <rFont val="Arial"/>
        <family val="2"/>
      </rPr>
      <t>(64.9°)</t>
    </r>
  </si>
  <si>
    <r>
      <t>6:22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(68°)</t>
    </r>
  </si>
  <si>
    <r>
      <t>8:26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(292°)</t>
    </r>
  </si>
  <si>
    <r>
      <t>1:24 pm </t>
    </r>
    <r>
      <rPr>
        <sz val="9"/>
        <color rgb="FF777777"/>
        <rFont val="Arial"/>
        <family val="2"/>
      </rPr>
      <t>(65.2°)</t>
    </r>
  </si>
  <si>
    <r>
      <t>6:21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(68°)</t>
    </r>
  </si>
  <si>
    <r>
      <t>8:27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(293°)</t>
    </r>
  </si>
  <si>
    <r>
      <t>1:24 pm </t>
    </r>
    <r>
      <rPr>
        <sz val="9"/>
        <color rgb="FF777777"/>
        <rFont val="Arial"/>
        <family val="2"/>
      </rPr>
      <t>(65.5°)</t>
    </r>
  </si>
  <si>
    <r>
      <t>6:20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(67°)</t>
    </r>
  </si>
  <si>
    <r>
      <t>8:28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(293°)</t>
    </r>
  </si>
  <si>
    <t>+2:13</t>
  </si>
  <si>
    <r>
      <t>1:24 pm </t>
    </r>
    <r>
      <rPr>
        <sz val="9"/>
        <color rgb="FF777777"/>
        <rFont val="Arial"/>
        <family val="2"/>
      </rPr>
      <t>(65.8°)</t>
    </r>
  </si>
  <si>
    <r>
      <t>6:19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(67°)</t>
    </r>
  </si>
  <si>
    <r>
      <t>8:29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(293°)</t>
    </r>
  </si>
  <si>
    <t>+2:11</t>
  </si>
  <si>
    <r>
      <t>1:24 pm </t>
    </r>
    <r>
      <rPr>
        <sz val="9"/>
        <color rgb="FF777777"/>
        <rFont val="Arial"/>
        <family val="2"/>
      </rPr>
      <t>(66.1°)</t>
    </r>
  </si>
  <si>
    <r>
      <t>6:18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(66°)</t>
    </r>
  </si>
  <si>
    <r>
      <t>8:30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(294°)</t>
    </r>
  </si>
  <si>
    <r>
      <t>1:24 pm </t>
    </r>
    <r>
      <rPr>
        <sz val="9"/>
        <color rgb="FF777777"/>
        <rFont val="Arial"/>
        <family val="2"/>
      </rPr>
      <t>(66.3°)</t>
    </r>
  </si>
  <si>
    <r>
      <t>6:17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(66°)</t>
    </r>
  </si>
  <si>
    <r>
      <t>8:31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(294°)</t>
    </r>
  </si>
  <si>
    <t>+2:08</t>
  </si>
  <si>
    <r>
      <t>1:24 pm </t>
    </r>
    <r>
      <rPr>
        <sz val="9"/>
        <color rgb="FF777777"/>
        <rFont val="Arial"/>
        <family val="2"/>
      </rPr>
      <t>(66.6°)</t>
    </r>
  </si>
  <si>
    <r>
      <t>6:15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(66°)</t>
    </r>
  </si>
  <si>
    <r>
      <t>8:32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(294°)</t>
    </r>
  </si>
  <si>
    <t>+2:06</t>
  </si>
  <si>
    <r>
      <t>1:23 pm </t>
    </r>
    <r>
      <rPr>
        <sz val="9"/>
        <color rgb="FF777777"/>
        <rFont val="Arial"/>
        <family val="2"/>
      </rPr>
      <t>(66.9°)</t>
    </r>
  </si>
  <si>
    <r>
      <t>6:14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(65°)</t>
    </r>
  </si>
  <si>
    <r>
      <t>8:33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(295°)</t>
    </r>
  </si>
  <si>
    <t>+2:04</t>
  </si>
  <si>
    <r>
      <t>1:23 pm </t>
    </r>
    <r>
      <rPr>
        <sz val="9"/>
        <color rgb="FF777777"/>
        <rFont val="Arial"/>
        <family val="2"/>
      </rPr>
      <t>(67.1°)</t>
    </r>
  </si>
  <si>
    <r>
      <t>6:13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(65°)</t>
    </r>
  </si>
  <si>
    <r>
      <t>8:34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(295°)</t>
    </r>
  </si>
  <si>
    <r>
      <t>1:23 pm </t>
    </r>
    <r>
      <rPr>
        <sz val="9"/>
        <color rgb="FF777777"/>
        <rFont val="Arial"/>
        <family val="2"/>
      </rPr>
      <t>(67.4°)</t>
    </r>
  </si>
  <si>
    <r>
      <t>6:12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(65°)</t>
    </r>
  </si>
  <si>
    <r>
      <t>8:35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</si>
  <si>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t>+2:01</t>
  </si>
  <si>
    <r>
      <t>1:23 pm </t>
    </r>
    <r>
      <rPr>
        <sz val="9"/>
        <color rgb="FF777777"/>
        <rFont val="Arial"/>
        <family val="2"/>
      </rPr>
      <t>(67.6°)</t>
    </r>
  </si>
  <si>
    <r>
      <t>6:11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(64°)</t>
    </r>
  </si>
  <si>
    <r>
      <t>8:36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</si>
  <si>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t>+1:59</t>
  </si>
  <si>
    <r>
      <t>1:23 pm </t>
    </r>
    <r>
      <rPr>
        <sz val="9"/>
        <color rgb="FF777777"/>
        <rFont val="Arial"/>
        <family val="2"/>
      </rPr>
      <t>(67.9°)</t>
    </r>
  </si>
  <si>
    <r>
      <t>6:10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(64°)</t>
    </r>
  </si>
  <si>
    <r>
      <t>8:37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</si>
  <si>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t>+1:57</t>
  </si>
  <si>
    <r>
      <t>1:23 pm </t>
    </r>
    <r>
      <rPr>
        <sz val="9"/>
        <color rgb="FF777777"/>
        <rFont val="Arial"/>
        <family val="2"/>
      </rPr>
      <t>(68.1°)</t>
    </r>
  </si>
  <si>
    <r>
      <t>6:09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(64°)</t>
    </r>
  </si>
  <si>
    <r>
      <t>8:38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</si>
  <si>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r>
      <t>1:23 pm </t>
    </r>
    <r>
      <rPr>
        <sz val="9"/>
        <color rgb="FF777777"/>
        <rFont val="Arial"/>
        <family val="2"/>
      </rPr>
      <t>(68.3°)</t>
    </r>
  </si>
  <si>
    <r>
      <t>6:08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(63°)</t>
    </r>
  </si>
  <si>
    <r>
      <t>8:39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(297°)</t>
    </r>
  </si>
  <si>
    <t>+1:52</t>
  </si>
  <si>
    <r>
      <t>1:23 pm </t>
    </r>
    <r>
      <rPr>
        <sz val="9"/>
        <color rgb="FF777777"/>
        <rFont val="Arial"/>
        <family val="2"/>
      </rPr>
      <t>(68.6°)</t>
    </r>
  </si>
  <si>
    <r>
      <t>8:40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(297°)</t>
    </r>
  </si>
  <si>
    <t>+1:50</t>
  </si>
  <si>
    <r>
      <t>1:23 pm </t>
    </r>
    <r>
      <rPr>
        <sz val="9"/>
        <color rgb="FF777777"/>
        <rFont val="Arial"/>
        <family val="2"/>
      </rPr>
      <t>(68.8°)</t>
    </r>
  </si>
  <si>
    <r>
      <t>6:07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(63°)</t>
    </r>
  </si>
  <si>
    <r>
      <t>8:41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(297°)</t>
    </r>
  </si>
  <si>
    <t>+1:48</t>
  </si>
  <si>
    <r>
      <t>1:24 pm </t>
    </r>
    <r>
      <rPr>
        <sz val="9"/>
        <color rgb="FF777777"/>
        <rFont val="Arial"/>
        <family val="2"/>
      </rPr>
      <t>(69.0°)</t>
    </r>
  </si>
  <si>
    <r>
      <t>6:06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</si>
  <si>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8:42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(298°)</t>
    </r>
  </si>
  <si>
    <t>+1:45</t>
  </si>
  <si>
    <r>
      <t>1:24 pm </t>
    </r>
    <r>
      <rPr>
        <sz val="9"/>
        <color rgb="FF777777"/>
        <rFont val="Arial"/>
        <family val="2"/>
      </rPr>
      <t>(69.2°)</t>
    </r>
  </si>
  <si>
    <r>
      <t>6:05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</si>
  <si>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8:43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(298°)</t>
    </r>
  </si>
  <si>
    <r>
      <t>1:24 pm </t>
    </r>
    <r>
      <rPr>
        <sz val="9"/>
        <color rgb="FF777777"/>
        <rFont val="Arial"/>
        <family val="2"/>
      </rPr>
      <t>(69.4°)</t>
    </r>
  </si>
  <si>
    <r>
      <t>6:04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</si>
  <si>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8:44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(298°)</t>
    </r>
  </si>
  <si>
    <t>+1:40</t>
  </si>
  <si>
    <r>
      <t>1:24 pm </t>
    </r>
    <r>
      <rPr>
        <sz val="9"/>
        <color rgb="FF777777"/>
        <rFont val="Arial"/>
        <family val="2"/>
      </rPr>
      <t>(69.6°)</t>
    </r>
  </si>
  <si>
    <r>
      <t>6:03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</si>
  <si>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8:45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(299°)</t>
    </r>
  </si>
  <si>
    <r>
      <t>1:24 pm </t>
    </r>
    <r>
      <rPr>
        <sz val="9"/>
        <color rgb="FF777777"/>
        <rFont val="Arial"/>
        <family val="2"/>
      </rPr>
      <t>(69.8°)</t>
    </r>
  </si>
  <si>
    <r>
      <t>6:03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(61°)</t>
    </r>
  </si>
  <si>
    <r>
      <t>1:24 pm </t>
    </r>
    <r>
      <rPr>
        <sz val="9"/>
        <color rgb="FF777777"/>
        <rFont val="Arial"/>
        <family val="2"/>
      </rPr>
      <t>(70.0°)</t>
    </r>
  </si>
  <si>
    <r>
      <t>6:02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(61°)</t>
    </r>
  </si>
  <si>
    <r>
      <t>8:46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(299°)</t>
    </r>
  </si>
  <si>
    <t>+1:33</t>
  </si>
  <si>
    <r>
      <t>1:24 pm </t>
    </r>
    <r>
      <rPr>
        <sz val="9"/>
        <color rgb="FF777777"/>
        <rFont val="Arial"/>
        <family val="2"/>
      </rPr>
      <t>(70.2°)</t>
    </r>
  </si>
  <si>
    <r>
      <t>6:01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(61°)</t>
    </r>
  </si>
  <si>
    <r>
      <t>8:47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(299°)</t>
    </r>
  </si>
  <si>
    <t>+1:30</t>
  </si>
  <si>
    <r>
      <t>1:24 pm </t>
    </r>
    <r>
      <rPr>
        <sz val="9"/>
        <color rgb="FF777777"/>
        <rFont val="Arial"/>
        <family val="2"/>
      </rPr>
      <t>(70.4°)</t>
    </r>
  </si>
  <si>
    <r>
      <t>8:48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</si>
  <si>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+1:27</t>
  </si>
  <si>
    <r>
      <t>1:24 pm </t>
    </r>
    <r>
      <rPr>
        <sz val="9"/>
        <color rgb="FF777777"/>
        <rFont val="Arial"/>
        <family val="2"/>
      </rPr>
      <t>(70.5°)</t>
    </r>
  </si>
  <si>
    <r>
      <t>6:00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</si>
  <si>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r>
      <t>8:49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</si>
  <si>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+1:24</t>
  </si>
  <si>
    <r>
      <t>1:24 pm </t>
    </r>
    <r>
      <rPr>
        <sz val="9"/>
        <color rgb="FF777777"/>
        <rFont val="Arial"/>
        <family val="2"/>
      </rPr>
      <t>(70.7°)</t>
    </r>
  </si>
  <si>
    <r>
      <t>8:50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</si>
  <si>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+1:21</t>
  </si>
  <si>
    <r>
      <t>1:24 pm </t>
    </r>
    <r>
      <rPr>
        <sz val="9"/>
        <color rgb="FF777777"/>
        <rFont val="Arial"/>
        <family val="2"/>
      </rPr>
      <t>(70.9°)</t>
    </r>
  </si>
  <si>
    <r>
      <t>5:59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</si>
  <si>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t>+1:18</t>
  </si>
  <si>
    <r>
      <t>1:25 pm </t>
    </r>
    <r>
      <rPr>
        <sz val="9"/>
        <color rgb="FF777777"/>
        <rFont val="Arial"/>
        <family val="2"/>
      </rPr>
      <t>(71.0°)</t>
    </r>
  </si>
  <si>
    <r>
      <t>8:51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</si>
  <si>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+1:15</t>
  </si>
  <si>
    <r>
      <t>1:25 pm </t>
    </r>
    <r>
      <rPr>
        <sz val="9"/>
        <color rgb="FF777777"/>
        <rFont val="Arial"/>
        <family val="2"/>
      </rPr>
      <t>(71.2°)</t>
    </r>
  </si>
  <si>
    <r>
      <t>5:58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</si>
  <si>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r>
      <t>8:52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</si>
  <si>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t>+1:12</t>
  </si>
  <si>
    <r>
      <t>1:25 pm </t>
    </r>
    <r>
      <rPr>
        <sz val="9"/>
        <color rgb="FF777777"/>
        <rFont val="Arial"/>
        <family val="2"/>
      </rPr>
      <t>(71.3°)</t>
    </r>
  </si>
  <si>
    <t>Jun</t>
  </si>
  <si>
    <r>
      <t>5:58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</si>
  <si>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r>
      <t>8:53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</si>
  <si>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t>+1:09</t>
  </si>
  <si>
    <r>
      <t>1:25 pm </t>
    </r>
    <r>
      <rPr>
        <sz val="9"/>
        <color rgb="FF777777"/>
        <rFont val="Arial"/>
        <family val="2"/>
      </rPr>
      <t>(71.4°)</t>
    </r>
  </si>
  <si>
    <r>
      <t>5:57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</si>
  <si>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r>
      <t>1:25 pm </t>
    </r>
    <r>
      <rPr>
        <sz val="9"/>
        <color rgb="FF777777"/>
        <rFont val="Arial"/>
        <family val="2"/>
      </rPr>
      <t>(71.5°)</t>
    </r>
  </si>
  <si>
    <r>
      <t>8:54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</si>
  <si>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r>
      <t>1:25 pm </t>
    </r>
    <r>
      <rPr>
        <sz val="9"/>
        <color rgb="FF777777"/>
        <rFont val="Arial"/>
        <family val="2"/>
      </rPr>
      <t>(71.7°)</t>
    </r>
  </si>
  <si>
    <r>
      <t>8:55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</si>
  <si>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r>
      <t>1:26 pm </t>
    </r>
    <r>
      <rPr>
        <sz val="9"/>
        <color rgb="FF777777"/>
        <rFont val="Arial"/>
        <family val="2"/>
      </rPr>
      <t>(71.8°)</t>
    </r>
  </si>
  <si>
    <r>
      <t>5:56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</si>
  <si>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t>+0:56</t>
  </si>
  <si>
    <r>
      <t>1:26 pm </t>
    </r>
    <r>
      <rPr>
        <sz val="9"/>
        <color rgb="FF777777"/>
        <rFont val="Arial"/>
        <family val="2"/>
      </rPr>
      <t>(71.9°)</t>
    </r>
  </si>
  <si>
    <r>
      <t>8:56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</si>
  <si>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+0:53</t>
  </si>
  <si>
    <r>
      <t>1:26 pm </t>
    </r>
    <r>
      <rPr>
        <sz val="9"/>
        <color rgb="FF777777"/>
        <rFont val="Arial"/>
        <family val="2"/>
      </rPr>
      <t>(72.0°)</t>
    </r>
  </si>
  <si>
    <r>
      <t>5:56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</si>
  <si>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r>
      <t>8:57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</si>
  <si>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+0:49</t>
  </si>
  <si>
    <r>
      <t>1:26 pm </t>
    </r>
    <r>
      <rPr>
        <sz val="9"/>
        <color rgb="FF777777"/>
        <rFont val="Arial"/>
        <family val="2"/>
      </rPr>
      <t>(72.1°)</t>
    </r>
  </si>
  <si>
    <t>+0:46</t>
  </si>
  <si>
    <r>
      <t>1:26 pm </t>
    </r>
    <r>
      <rPr>
        <sz val="9"/>
        <color rgb="FF777777"/>
        <rFont val="Arial"/>
        <family val="2"/>
      </rPr>
      <t>(72.2°)</t>
    </r>
  </si>
  <si>
    <r>
      <t>5:55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</si>
  <si>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r>
      <t>8:58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</si>
  <si>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+0:42</t>
  </si>
  <si>
    <t>+0:39</t>
  </si>
  <si>
    <r>
      <t>1:27 pm </t>
    </r>
    <r>
      <rPr>
        <sz val="9"/>
        <color rgb="FF777777"/>
        <rFont val="Arial"/>
        <family val="2"/>
      </rPr>
      <t>(72.3°)</t>
    </r>
  </si>
  <si>
    <r>
      <t>8:59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</si>
  <si>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+0:35</t>
  </si>
  <si>
    <r>
      <t>1:27 pm </t>
    </r>
    <r>
      <rPr>
        <sz val="9"/>
        <color rgb="FF777777"/>
        <rFont val="Arial"/>
        <family val="2"/>
      </rPr>
      <t>(72.4°)</t>
    </r>
  </si>
  <si>
    <t>+0:31</t>
  </si>
  <si>
    <r>
      <t>9:00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</si>
  <si>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+0:28</t>
  </si>
  <si>
    <r>
      <t>1:27 pm </t>
    </r>
    <r>
      <rPr>
        <sz val="9"/>
        <color rgb="FF777777"/>
        <rFont val="Arial"/>
        <family val="2"/>
      </rPr>
      <t>(72.5°)</t>
    </r>
  </si>
  <si>
    <t>+0:24</t>
  </si>
  <si>
    <t>+0:20</t>
  </si>
  <si>
    <r>
      <t>1:28 pm </t>
    </r>
    <r>
      <rPr>
        <sz val="9"/>
        <color rgb="FF777777"/>
        <rFont val="Arial"/>
        <family val="2"/>
      </rPr>
      <t>(72.6°)</t>
    </r>
  </si>
  <si>
    <r>
      <t>9:01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</si>
  <si>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+0:17</t>
  </si>
  <si>
    <t>+0:13</t>
  </si>
  <si>
    <r>
      <t>9:01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(303°)</t>
    </r>
  </si>
  <si>
    <t>+0:09</t>
  </si>
  <si>
    <r>
      <t>1:28 pm </t>
    </r>
    <r>
      <rPr>
        <sz val="9"/>
        <color rgb="FF777777"/>
        <rFont val="Arial"/>
        <family val="2"/>
      </rPr>
      <t>(72.7°)</t>
    </r>
  </si>
  <si>
    <r>
      <t>5:56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(57°)</t>
    </r>
  </si>
  <si>
    <r>
      <t>9:02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(303°)</t>
    </r>
  </si>
  <si>
    <t>+0:06</t>
  </si>
  <si>
    <r>
      <t>1:29 pm </t>
    </r>
    <r>
      <rPr>
        <sz val="9"/>
        <color rgb="FF777777"/>
        <rFont val="Arial"/>
        <family val="2"/>
      </rPr>
      <t>(72.7°)</t>
    </r>
  </si>
  <si>
    <t>+0:02</t>
  </si>
  <si>
    <t>−0:01</t>
  </si>
  <si>
    <r>
      <t>9:02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(302°)</t>
    </r>
  </si>
  <si>
    <t>−0:05</t>
  </si>
  <si>
    <r>
      <t>5:57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</si>
  <si>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t>−0:08</t>
  </si>
  <si>
    <r>
      <t>1:29 pm </t>
    </r>
    <r>
      <rPr>
        <sz val="9"/>
        <color rgb="FF777777"/>
        <rFont val="Arial"/>
        <family val="2"/>
      </rPr>
      <t>(72.6°)</t>
    </r>
  </si>
  <si>
    <t>−0:12</t>
  </si>
  <si>
    <r>
      <t>1:30 pm </t>
    </r>
    <r>
      <rPr>
        <sz val="9"/>
        <color rgb="FF777777"/>
        <rFont val="Arial"/>
        <family val="2"/>
      </rPr>
      <t>(72.6°)</t>
    </r>
  </si>
  <si>
    <t>−0:16</t>
  </si>
  <si>
    <r>
      <t>5:58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</si>
  <si>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t>−0:19</t>
  </si>
  <si>
    <t>−0:23</t>
  </si>
  <si>
    <r>
      <t>1:30 pm </t>
    </r>
    <r>
      <rPr>
        <sz val="9"/>
        <color rgb="FF777777"/>
        <rFont val="Arial"/>
        <family val="2"/>
      </rPr>
      <t>(72.5°)</t>
    </r>
  </si>
  <si>
    <t>−0:27</t>
  </si>
  <si>
    <r>
      <t>5:59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</si>
  <si>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t>−0:30</t>
  </si>
  <si>
    <r>
      <t>1:31 pm </t>
    </r>
    <r>
      <rPr>
        <sz val="9"/>
        <color rgb="FF777777"/>
        <rFont val="Arial"/>
        <family val="2"/>
      </rPr>
      <t>(72.4°)</t>
    </r>
  </si>
  <si>
    <t>−0:34</t>
  </si>
  <si>
    <r>
      <t>1:31 pm </t>
    </r>
    <r>
      <rPr>
        <sz val="9"/>
        <color rgb="FF777777"/>
        <rFont val="Arial"/>
        <family val="2"/>
      </rPr>
      <t>(72.3°)</t>
    </r>
  </si>
  <si>
    <t>Jul</t>
  </si>
  <si>
    <r>
      <t>6:00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</si>
  <si>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t>−0:38</t>
  </si>
  <si>
    <t>−0:41</t>
  </si>
  <si>
    <r>
      <t>1:31 pm </t>
    </r>
    <r>
      <rPr>
        <sz val="9"/>
        <color rgb="FF777777"/>
        <rFont val="Arial"/>
        <family val="2"/>
      </rPr>
      <t>(72.2°)</t>
    </r>
  </si>
  <si>
    <r>
      <t>6:01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(58°)</t>
    </r>
  </si>
  <si>
    <t>−0:45</t>
  </si>
  <si>
    <r>
      <t>1:31 pm </t>
    </r>
    <r>
      <rPr>
        <sz val="9"/>
        <color rgb="FF777777"/>
        <rFont val="Arial"/>
        <family val="2"/>
      </rPr>
      <t>(72.1°)</t>
    </r>
  </si>
  <si>
    <t>−0:48</t>
  </si>
  <si>
    <r>
      <t>1:32 pm </t>
    </r>
    <r>
      <rPr>
        <sz val="9"/>
        <color rgb="FF777777"/>
        <rFont val="Arial"/>
        <family val="2"/>
      </rPr>
      <t>(72.0°)</t>
    </r>
  </si>
  <si>
    <r>
      <t>6:02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</si>
  <si>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r>
      <t>9:01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</si>
  <si>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t>−0:51</t>
  </si>
  <si>
    <r>
      <t>1:32 pm </t>
    </r>
    <r>
      <rPr>
        <sz val="9"/>
        <color rgb="FF777777"/>
        <rFont val="Arial"/>
        <family val="2"/>
      </rPr>
      <t>(71.9°)</t>
    </r>
  </si>
  <si>
    <r>
      <t>6:03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</si>
  <si>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t>−0:55</t>
  </si>
  <si>
    <r>
      <t>1:32 pm </t>
    </r>
    <r>
      <rPr>
        <sz val="9"/>
        <color rgb="FF777777"/>
        <rFont val="Arial"/>
        <family val="2"/>
      </rPr>
      <t>(71.8°)</t>
    </r>
  </si>
  <si>
    <t>−0:58</t>
  </si>
  <si>
    <r>
      <t>1:32 pm </t>
    </r>
    <r>
      <rPr>
        <sz val="9"/>
        <color rgb="FF777777"/>
        <rFont val="Arial"/>
        <family val="2"/>
      </rPr>
      <t>(71.7°)</t>
    </r>
  </si>
  <si>
    <r>
      <t>6:04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</si>
  <si>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r>
      <t>9:00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</si>
  <si>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t>−1:01</t>
  </si>
  <si>
    <r>
      <t>1:32 pm </t>
    </r>
    <r>
      <rPr>
        <sz val="9"/>
        <color rgb="FF777777"/>
        <rFont val="Arial"/>
        <family val="2"/>
      </rPr>
      <t>(71.6°)</t>
    </r>
  </si>
  <si>
    <r>
      <t>6:05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(59°)</t>
    </r>
  </si>
  <si>
    <t>−1:05</t>
  </si>
  <si>
    <r>
      <t>1:32 pm </t>
    </r>
    <r>
      <rPr>
        <sz val="9"/>
        <color rgb="FF777777"/>
        <rFont val="Arial"/>
        <family val="2"/>
      </rPr>
      <t>(71.5°)</t>
    </r>
  </si>
  <si>
    <r>
      <t>8:59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(301°)</t>
    </r>
  </si>
  <si>
    <t>−1:08</t>
  </si>
  <si>
    <r>
      <t>1:33 pm </t>
    </r>
    <r>
      <rPr>
        <sz val="9"/>
        <color rgb="FF777777"/>
        <rFont val="Arial"/>
        <family val="2"/>
      </rPr>
      <t>(71.3°)</t>
    </r>
  </si>
  <si>
    <r>
      <t>6:06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</si>
  <si>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r>
      <t>8:59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</si>
  <si>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−1:11</t>
  </si>
  <si>
    <r>
      <t>1:33 pm </t>
    </r>
    <r>
      <rPr>
        <sz val="9"/>
        <color rgb="FF777777"/>
        <rFont val="Arial"/>
        <family val="2"/>
      </rPr>
      <t>(71.2°)</t>
    </r>
  </si>
  <si>
    <r>
      <t>6:07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</si>
  <si>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r>
      <t>8:58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</si>
  <si>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−1:14</t>
  </si>
  <si>
    <r>
      <t>1:33 pm </t>
    </r>
    <r>
      <rPr>
        <sz val="9"/>
        <color rgb="FF777777"/>
        <rFont val="Arial"/>
        <family val="2"/>
      </rPr>
      <t>(71.1°)</t>
    </r>
  </si>
  <si>
    <r>
      <t>6:08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</si>
  <si>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t>−1:17</t>
  </si>
  <si>
    <r>
      <t>1:33 pm </t>
    </r>
    <r>
      <rPr>
        <sz val="9"/>
        <color rgb="FF777777"/>
        <rFont val="Arial"/>
        <family val="2"/>
      </rPr>
      <t>(70.9°)</t>
    </r>
  </si>
  <si>
    <r>
      <t>8:57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(300°)</t>
    </r>
  </si>
  <si>
    <t>−1:20</t>
  </si>
  <si>
    <r>
      <t>1:33 pm </t>
    </r>
    <r>
      <rPr>
        <sz val="9"/>
        <color rgb="FF777777"/>
        <rFont val="Arial"/>
        <family val="2"/>
      </rPr>
      <t>(70.8°)</t>
    </r>
  </si>
  <si>
    <r>
      <t>6:09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(60°)</t>
    </r>
  </si>
  <si>
    <r>
      <t>8:57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(299°)</t>
    </r>
  </si>
  <si>
    <t>−1:23</t>
  </si>
  <si>
    <r>
      <t>1:33 pm </t>
    </r>
    <r>
      <rPr>
        <sz val="9"/>
        <color rgb="FF777777"/>
        <rFont val="Arial"/>
        <family val="2"/>
      </rPr>
      <t>(70.6°)</t>
    </r>
  </si>
  <si>
    <r>
      <t>6:10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(61°)</t>
    </r>
  </si>
  <si>
    <r>
      <t>8:56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(299°)</t>
    </r>
  </si>
  <si>
    <t>−1:26</t>
  </si>
  <si>
    <r>
      <t>1:33 pm </t>
    </r>
    <r>
      <rPr>
        <sz val="9"/>
        <color rgb="FF777777"/>
        <rFont val="Arial"/>
        <family val="2"/>
      </rPr>
      <t>(70.4°)</t>
    </r>
  </si>
  <si>
    <r>
      <t>6:11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(61°)</t>
    </r>
  </si>
  <si>
    <r>
      <t>8:55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(299°)</t>
    </r>
  </si>
  <si>
    <t>−1:28</t>
  </si>
  <si>
    <r>
      <t>1:33 pm </t>
    </r>
    <r>
      <rPr>
        <sz val="9"/>
        <color rgb="FF777777"/>
        <rFont val="Arial"/>
        <family val="2"/>
      </rPr>
      <t>(70.3°)</t>
    </r>
  </si>
  <si>
    <r>
      <t>6:12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(61°)</t>
    </r>
  </si>
  <si>
    <t>−1:31</t>
  </si>
  <si>
    <r>
      <t>1:33 pm </t>
    </r>
    <r>
      <rPr>
        <sz val="9"/>
        <color rgb="FF777777"/>
        <rFont val="Arial"/>
        <family val="2"/>
      </rPr>
      <t>(70.1°)</t>
    </r>
  </si>
  <si>
    <r>
      <t>8:54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(298°)</t>
    </r>
  </si>
  <si>
    <t>−1:34</t>
  </si>
  <si>
    <r>
      <t>1:33 pm </t>
    </r>
    <r>
      <rPr>
        <sz val="9"/>
        <color rgb="FF777777"/>
        <rFont val="Arial"/>
        <family val="2"/>
      </rPr>
      <t>(69.9°)</t>
    </r>
  </si>
  <si>
    <r>
      <t>6:13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</si>
  <si>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8:53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(298°)</t>
    </r>
  </si>
  <si>
    <t>−1:36</t>
  </si>
  <si>
    <r>
      <t>1:33 pm </t>
    </r>
    <r>
      <rPr>
        <sz val="9"/>
        <color rgb="FF777777"/>
        <rFont val="Arial"/>
        <family val="2"/>
      </rPr>
      <t>(69.7°)</t>
    </r>
  </si>
  <si>
    <r>
      <t>6:14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</si>
  <si>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8:52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(298°)</t>
    </r>
  </si>
  <si>
    <t>−1:39</t>
  </si>
  <si>
    <r>
      <t>1:33 pm </t>
    </r>
    <r>
      <rPr>
        <sz val="9"/>
        <color rgb="FF777777"/>
        <rFont val="Arial"/>
        <family val="2"/>
      </rPr>
      <t>(69.5°)</t>
    </r>
  </si>
  <si>
    <r>
      <t>6:15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</si>
  <si>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t>−1:41</t>
  </si>
  <si>
    <r>
      <t>1:34 pm </t>
    </r>
    <r>
      <rPr>
        <sz val="9"/>
        <color rgb="FF777777"/>
        <rFont val="Arial"/>
        <family val="2"/>
      </rPr>
      <t>(69.3°)</t>
    </r>
  </si>
  <si>
    <r>
      <t>6:16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(62°)</t>
    </r>
  </si>
  <si>
    <r>
      <t>8:51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(297°)</t>
    </r>
  </si>
  <si>
    <t>−1:44</t>
  </si>
  <si>
    <r>
      <t>1:34 pm </t>
    </r>
    <r>
      <rPr>
        <sz val="9"/>
        <color rgb="FF777777"/>
        <rFont val="Arial"/>
        <family val="2"/>
      </rPr>
      <t>(69.1°)</t>
    </r>
  </si>
  <si>
    <r>
      <t>6:17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(63°)</t>
    </r>
  </si>
  <si>
    <r>
      <t>8:50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(297°)</t>
    </r>
  </si>
  <si>
    <t>−1:46</t>
  </si>
  <si>
    <r>
      <t>1:34 pm </t>
    </r>
    <r>
      <rPr>
        <sz val="9"/>
        <color rgb="FF777777"/>
        <rFont val="Arial"/>
        <family val="2"/>
      </rPr>
      <t>(68.9°)</t>
    </r>
  </si>
  <si>
    <r>
      <t>6:18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(63°)</t>
    </r>
  </si>
  <si>
    <r>
      <t>8:49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(297°)</t>
    </r>
  </si>
  <si>
    <t>−1:48</t>
  </si>
  <si>
    <r>
      <t>1:34 pm </t>
    </r>
    <r>
      <rPr>
        <sz val="9"/>
        <color rgb="FF777777"/>
        <rFont val="Arial"/>
        <family val="2"/>
      </rPr>
      <t>(68.7°)</t>
    </r>
  </si>
  <si>
    <r>
      <t>6:19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(63°)</t>
    </r>
  </si>
  <si>
    <r>
      <t>8:48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</si>
  <si>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t>−1:50</t>
  </si>
  <si>
    <r>
      <t>1:34 pm </t>
    </r>
    <r>
      <rPr>
        <sz val="9"/>
        <color rgb="FF777777"/>
        <rFont val="Arial"/>
        <family val="2"/>
      </rPr>
      <t>(68.4°)</t>
    </r>
  </si>
  <si>
    <r>
      <t>6:19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(64°)</t>
    </r>
  </si>
  <si>
    <r>
      <t>8:47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</si>
  <si>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t>−1:53</t>
  </si>
  <si>
    <r>
      <t>1:34 pm </t>
    </r>
    <r>
      <rPr>
        <sz val="9"/>
        <color rgb="FF777777"/>
        <rFont val="Arial"/>
        <family val="2"/>
      </rPr>
      <t>(68.2°)</t>
    </r>
  </si>
  <si>
    <r>
      <t>6:20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(64°)</t>
    </r>
  </si>
  <si>
    <r>
      <t>8:46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(296°)</t>
    </r>
  </si>
  <si>
    <t>−1:55</t>
  </si>
  <si>
    <r>
      <t>1:34 pm </t>
    </r>
    <r>
      <rPr>
        <sz val="9"/>
        <color rgb="FF777777"/>
        <rFont val="Arial"/>
        <family val="2"/>
      </rPr>
      <t>(68.0°)</t>
    </r>
  </si>
  <si>
    <r>
      <t>6:21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(64°)</t>
    </r>
  </si>
  <si>
    <r>
      <t>8:45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(295°)</t>
    </r>
  </si>
  <si>
    <t>−1:57</t>
  </si>
  <si>
    <r>
      <t>1:33 pm </t>
    </r>
    <r>
      <rPr>
        <sz val="9"/>
        <color rgb="FF777777"/>
        <rFont val="Arial"/>
        <family val="2"/>
      </rPr>
      <t>(67.7°)</t>
    </r>
  </si>
  <si>
    <r>
      <t>6:22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(65°)</t>
    </r>
  </si>
  <si>
    <r>
      <t>8:44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(295°)</t>
    </r>
  </si>
  <si>
    <t>−1:59</t>
  </si>
  <si>
    <r>
      <t>1:33 pm </t>
    </r>
    <r>
      <rPr>
        <sz val="9"/>
        <color rgb="FF777777"/>
        <rFont val="Arial"/>
        <family val="2"/>
      </rPr>
      <t>(67.5°)</t>
    </r>
  </si>
  <si>
    <r>
      <t>6:23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(65°)</t>
    </r>
  </si>
  <si>
    <r>
      <t>8:43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(295°)</t>
    </r>
  </si>
  <si>
    <t>−2:01</t>
  </si>
  <si>
    <r>
      <t>1:33 pm </t>
    </r>
    <r>
      <rPr>
        <sz val="9"/>
        <color rgb="FF777777"/>
        <rFont val="Arial"/>
        <family val="2"/>
      </rPr>
      <t>(67.2°)</t>
    </r>
  </si>
  <si>
    <t>Aug</t>
  </si>
  <si>
    <r>
      <t>6:24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(65°)</t>
    </r>
  </si>
  <si>
    <r>
      <t>8:42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(294°)</t>
    </r>
  </si>
  <si>
    <t>−2:02</t>
  </si>
  <si>
    <r>
      <t>1:33 pm </t>
    </r>
    <r>
      <rPr>
        <sz val="9"/>
        <color rgb="FF777777"/>
        <rFont val="Arial"/>
        <family val="2"/>
      </rPr>
      <t>(67.0°)</t>
    </r>
  </si>
  <si>
    <r>
      <t>6:25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(66°)</t>
    </r>
  </si>
  <si>
    <r>
      <t>8:41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(294°)</t>
    </r>
  </si>
  <si>
    <t>−2:04</t>
  </si>
  <si>
    <r>
      <t>1:33 pm </t>
    </r>
    <r>
      <rPr>
        <sz val="9"/>
        <color rgb="FF777777"/>
        <rFont val="Arial"/>
        <family val="2"/>
      </rPr>
      <t>(66.7°)</t>
    </r>
  </si>
  <si>
    <r>
      <t>6:26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(66°)</t>
    </r>
  </si>
  <si>
    <r>
      <t>8:40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(294°)</t>
    </r>
  </si>
  <si>
    <t>−2:06</t>
  </si>
  <si>
    <r>
      <t>1:33 pm </t>
    </r>
    <r>
      <rPr>
        <sz val="9"/>
        <color rgb="FF777777"/>
        <rFont val="Arial"/>
        <family val="2"/>
      </rPr>
      <t>(66.5°)</t>
    </r>
  </si>
  <si>
    <r>
      <t>6:27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(66°)</t>
    </r>
  </si>
  <si>
    <r>
      <t>8:38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(293°)</t>
    </r>
  </si>
  <si>
    <t>−2:07</t>
  </si>
  <si>
    <r>
      <t>1:33 pm </t>
    </r>
    <r>
      <rPr>
        <sz val="9"/>
        <color rgb="FF777777"/>
        <rFont val="Arial"/>
        <family val="2"/>
      </rPr>
      <t>(66.2°)</t>
    </r>
  </si>
  <si>
    <r>
      <t>6:28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(67°)</t>
    </r>
  </si>
  <si>
    <r>
      <t>8:37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(293°)</t>
    </r>
  </si>
  <si>
    <t>−2:09</t>
  </si>
  <si>
    <r>
      <t>1:33 pm </t>
    </r>
    <r>
      <rPr>
        <sz val="9"/>
        <color rgb="FF777777"/>
        <rFont val="Arial"/>
        <family val="2"/>
      </rPr>
      <t>(65.9°)</t>
    </r>
  </si>
  <si>
    <r>
      <t>6:29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(67°)</t>
    </r>
  </si>
  <si>
    <r>
      <t>8:36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(293°)</t>
    </r>
  </si>
  <si>
    <t>−2:11</t>
  </si>
  <si>
    <r>
      <t>1:33 pm </t>
    </r>
    <r>
      <rPr>
        <sz val="9"/>
        <color rgb="FF777777"/>
        <rFont val="Arial"/>
        <family val="2"/>
      </rPr>
      <t>(65.6°)</t>
    </r>
  </si>
  <si>
    <r>
      <t>6:30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(68°)</t>
    </r>
  </si>
  <si>
    <r>
      <t>8:35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(292°)</t>
    </r>
  </si>
  <si>
    <t>−2:12</t>
  </si>
  <si>
    <r>
      <t>1:33 pm </t>
    </r>
    <r>
      <rPr>
        <sz val="9"/>
        <color rgb="FF777777"/>
        <rFont val="Arial"/>
        <family val="2"/>
      </rPr>
      <t>(65.4°)</t>
    </r>
  </si>
  <si>
    <r>
      <t>6:31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(68°)</t>
    </r>
  </si>
  <si>
    <r>
      <t>8:34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(292°)</t>
    </r>
  </si>
  <si>
    <t>−2:14</t>
  </si>
  <si>
    <r>
      <t>1:33 pm </t>
    </r>
    <r>
      <rPr>
        <sz val="9"/>
        <color rgb="FF777777"/>
        <rFont val="Arial"/>
        <family val="2"/>
      </rPr>
      <t>(65.1°)</t>
    </r>
  </si>
  <si>
    <r>
      <t>6:32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(68°)</t>
    </r>
  </si>
  <si>
    <r>
      <t>8:32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(291°)</t>
    </r>
  </si>
  <si>
    <t>−2:15</t>
  </si>
  <si>
    <r>
      <t>1:32 pm </t>
    </r>
    <r>
      <rPr>
        <sz val="9"/>
        <color rgb="FF777777"/>
        <rFont val="Arial"/>
        <family val="2"/>
      </rPr>
      <t>(64.8°)</t>
    </r>
  </si>
  <si>
    <r>
      <t>6:33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(69°)</t>
    </r>
  </si>
  <si>
    <r>
      <t>8:31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(291°)</t>
    </r>
  </si>
  <si>
    <t>−2:16</t>
  </si>
  <si>
    <r>
      <t>1:32 pm </t>
    </r>
    <r>
      <rPr>
        <sz val="9"/>
        <color rgb="FF777777"/>
        <rFont val="Arial"/>
        <family val="2"/>
      </rPr>
      <t>(64.5°)</t>
    </r>
  </si>
  <si>
    <r>
      <t>6:34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(69°)</t>
    </r>
  </si>
  <si>
    <r>
      <t>8:30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(291°)</t>
    </r>
  </si>
  <si>
    <t>−2:18</t>
  </si>
  <si>
    <r>
      <t>1:32 pm </t>
    </r>
    <r>
      <rPr>
        <sz val="9"/>
        <color rgb="FF777777"/>
        <rFont val="Arial"/>
        <family val="2"/>
      </rPr>
      <t>(64.2°)</t>
    </r>
  </si>
  <si>
    <r>
      <t>6:35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(70°)</t>
    </r>
  </si>
  <si>
    <r>
      <t>8:28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(290°)</t>
    </r>
  </si>
  <si>
    <t>−2:19</t>
  </si>
  <si>
    <r>
      <t>1:32 pm </t>
    </r>
    <r>
      <rPr>
        <sz val="9"/>
        <color rgb="FF777777"/>
        <rFont val="Arial"/>
        <family val="2"/>
      </rPr>
      <t>(63.9°)</t>
    </r>
  </si>
  <si>
    <r>
      <t>6:36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(70°)</t>
    </r>
  </si>
  <si>
    <r>
      <t>8:27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(290°)</t>
    </r>
  </si>
  <si>
    <t>−2:20</t>
  </si>
  <si>
    <r>
      <t>1:32 pm </t>
    </r>
    <r>
      <rPr>
        <sz val="9"/>
        <color rgb="FF777777"/>
        <rFont val="Arial"/>
        <family val="2"/>
      </rPr>
      <t>(63.6°)</t>
    </r>
  </si>
  <si>
    <r>
      <t>6:37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(70°)</t>
    </r>
  </si>
  <si>
    <r>
      <t>8:26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(289°)</t>
    </r>
  </si>
  <si>
    <t>−2:21</t>
  </si>
  <si>
    <r>
      <t>1:32 pm </t>
    </r>
    <r>
      <rPr>
        <sz val="9"/>
        <color rgb="FF777777"/>
        <rFont val="Arial"/>
        <family val="2"/>
      </rPr>
      <t>(63.3°)</t>
    </r>
  </si>
  <si>
    <r>
      <t>6:38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(71°)</t>
    </r>
  </si>
  <si>
    <r>
      <t>8:24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(289°)</t>
    </r>
  </si>
  <si>
    <t>−2:22</t>
  </si>
  <si>
    <r>
      <t>1:31 pm </t>
    </r>
    <r>
      <rPr>
        <sz val="9"/>
        <color rgb="FF777777"/>
        <rFont val="Arial"/>
        <family val="2"/>
      </rPr>
      <t>(63.0°)</t>
    </r>
  </si>
  <si>
    <r>
      <t>6:39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(71°)</t>
    </r>
  </si>
  <si>
    <r>
      <t>8:23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(288°)</t>
    </r>
  </si>
  <si>
    <t>−2:23</t>
  </si>
  <si>
    <r>
      <t>1:31 pm </t>
    </r>
    <r>
      <rPr>
        <sz val="9"/>
        <color rgb="FF777777"/>
        <rFont val="Arial"/>
        <family val="2"/>
      </rPr>
      <t>(62.6°)</t>
    </r>
  </si>
  <si>
    <r>
      <t>6:40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(72°)</t>
    </r>
  </si>
  <si>
    <r>
      <t>8:21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(288°)</t>
    </r>
  </si>
  <si>
    <t>−2:24</t>
  </si>
  <si>
    <r>
      <t>1:31 pm </t>
    </r>
    <r>
      <rPr>
        <sz val="9"/>
        <color rgb="FF777777"/>
        <rFont val="Arial"/>
        <family val="2"/>
      </rPr>
      <t>(62.3°)</t>
    </r>
  </si>
  <si>
    <r>
      <t>6:41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(72°)</t>
    </r>
  </si>
  <si>
    <r>
      <t>8:20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(288°)</t>
    </r>
  </si>
  <si>
    <t>−2:25</t>
  </si>
  <si>
    <r>
      <t>1:31 pm </t>
    </r>
    <r>
      <rPr>
        <sz val="9"/>
        <color rgb="FF777777"/>
        <rFont val="Arial"/>
        <family val="2"/>
      </rPr>
      <t>(62.0°)</t>
    </r>
  </si>
  <si>
    <r>
      <t>6:42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(73°)</t>
    </r>
  </si>
  <si>
    <r>
      <t>8:18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(287°)</t>
    </r>
  </si>
  <si>
    <t>−2:26</t>
  </si>
  <si>
    <r>
      <t>1:30 pm </t>
    </r>
    <r>
      <rPr>
        <sz val="9"/>
        <color rgb="FF777777"/>
        <rFont val="Arial"/>
        <family val="2"/>
      </rPr>
      <t>(61.7°)</t>
    </r>
  </si>
  <si>
    <r>
      <t>6:43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(73°)</t>
    </r>
  </si>
  <si>
    <r>
      <t>8:17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(287°)</t>
    </r>
  </si>
  <si>
    <t>−2:27</t>
  </si>
  <si>
    <r>
      <t>1:30 pm </t>
    </r>
    <r>
      <rPr>
        <sz val="9"/>
        <color rgb="FF777777"/>
        <rFont val="Arial"/>
        <family val="2"/>
      </rPr>
      <t>(61.3°)</t>
    </r>
  </si>
  <si>
    <r>
      <t>6:44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(74°)</t>
    </r>
  </si>
  <si>
    <r>
      <t>8:15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(286°)</t>
    </r>
  </si>
  <si>
    <t>−2:28</t>
  </si>
  <si>
    <r>
      <t>1:30 pm </t>
    </r>
    <r>
      <rPr>
        <sz val="9"/>
        <color rgb="FF777777"/>
        <rFont val="Arial"/>
        <family val="2"/>
      </rPr>
      <t>(61.0°)</t>
    </r>
  </si>
  <si>
    <r>
      <t>6:45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(74°)</t>
    </r>
  </si>
  <si>
    <r>
      <t>8:14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(286°)</t>
    </r>
  </si>
  <si>
    <t>−2:29</t>
  </si>
  <si>
    <r>
      <t>1:30 pm </t>
    </r>
    <r>
      <rPr>
        <sz val="9"/>
        <color rgb="FF777777"/>
        <rFont val="Arial"/>
        <family val="2"/>
      </rPr>
      <t>(60.7°)</t>
    </r>
  </si>
  <si>
    <r>
      <t>6:46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(74°)</t>
    </r>
  </si>
  <si>
    <r>
      <t>8:12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(285°)</t>
    </r>
  </si>
  <si>
    <t>−2:30</t>
  </si>
  <si>
    <r>
      <t>1:29 pm </t>
    </r>
    <r>
      <rPr>
        <sz val="9"/>
        <color rgb="FF777777"/>
        <rFont val="Arial"/>
        <family val="2"/>
      </rPr>
      <t>(60.3°)</t>
    </r>
  </si>
  <si>
    <r>
      <t>6:47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(75°)</t>
    </r>
  </si>
  <si>
    <r>
      <t>8:11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(285°)</t>
    </r>
  </si>
  <si>
    <r>
      <t>1:29 pm </t>
    </r>
    <r>
      <rPr>
        <sz val="9"/>
        <color rgb="FF777777"/>
        <rFont val="Arial"/>
        <family val="2"/>
      </rPr>
      <t>(60.0°)</t>
    </r>
  </si>
  <si>
    <r>
      <t>6:48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(75°)</t>
    </r>
  </si>
  <si>
    <r>
      <t>8:09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(284°)</t>
    </r>
  </si>
  <si>
    <t>−2:31</t>
  </si>
  <si>
    <r>
      <t>1:29 pm </t>
    </r>
    <r>
      <rPr>
        <sz val="9"/>
        <color rgb="FF777777"/>
        <rFont val="Arial"/>
        <family val="2"/>
      </rPr>
      <t>(59.6°)</t>
    </r>
  </si>
  <si>
    <r>
      <t>8:08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(284°)</t>
    </r>
  </si>
  <si>
    <t>−2:32</t>
  </si>
  <si>
    <r>
      <t>1:29 pm </t>
    </r>
    <r>
      <rPr>
        <sz val="9"/>
        <color rgb="FF777777"/>
        <rFont val="Arial"/>
        <family val="2"/>
      </rPr>
      <t>(59.3°)</t>
    </r>
  </si>
  <si>
    <r>
      <t>6:50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(76°)</t>
    </r>
  </si>
  <si>
    <r>
      <t>8:06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(283°)</t>
    </r>
  </si>
  <si>
    <r>
      <t>1:28 pm </t>
    </r>
    <r>
      <rPr>
        <sz val="9"/>
        <color rgb="FF777777"/>
        <rFont val="Arial"/>
        <family val="2"/>
      </rPr>
      <t>(58.9°)</t>
    </r>
  </si>
  <si>
    <r>
      <t>6:51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(77°)</t>
    </r>
  </si>
  <si>
    <t>−2:33</t>
  </si>
  <si>
    <r>
      <t>1:28 pm </t>
    </r>
    <r>
      <rPr>
        <sz val="9"/>
        <color rgb="FF777777"/>
        <rFont val="Arial"/>
        <family val="2"/>
      </rPr>
      <t>(58.6°)</t>
    </r>
  </si>
  <si>
    <r>
      <t>8:03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(283°)</t>
    </r>
  </si>
  <si>
    <t>−2:34</t>
  </si>
  <si>
    <r>
      <t>1:28 pm </t>
    </r>
    <r>
      <rPr>
        <sz val="9"/>
        <color rgb="FF777777"/>
        <rFont val="Arial"/>
        <family val="2"/>
      </rPr>
      <t>(58.2°)</t>
    </r>
  </si>
  <si>
    <r>
      <t>6:53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(78°)</t>
    </r>
  </si>
  <si>
    <r>
      <t>1:27 pm </t>
    </r>
    <r>
      <rPr>
        <sz val="9"/>
        <color rgb="FF777777"/>
        <rFont val="Arial"/>
        <family val="2"/>
      </rPr>
      <t>(57.9°)</t>
    </r>
  </si>
  <si>
    <r>
      <t>8:00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(282°)</t>
    </r>
  </si>
  <si>
    <t>−2:35</t>
  </si>
  <si>
    <r>
      <t>1:27 pm </t>
    </r>
    <r>
      <rPr>
        <sz val="9"/>
        <color rgb="FF777777"/>
        <rFont val="Arial"/>
        <family val="2"/>
      </rPr>
      <t>(57.5°)</t>
    </r>
  </si>
  <si>
    <t>Sep</t>
  </si>
  <si>
    <r>
      <t>6:55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(79°)</t>
    </r>
  </si>
  <si>
    <r>
      <t>7:58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(281°)</t>
    </r>
  </si>
  <si>
    <r>
      <t>1:27 pm </t>
    </r>
    <r>
      <rPr>
        <sz val="9"/>
        <color rgb="FF777777"/>
        <rFont val="Arial"/>
        <family val="2"/>
      </rPr>
      <t>(57.1°)</t>
    </r>
  </si>
  <si>
    <r>
      <t>6:56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(79°)</t>
    </r>
  </si>
  <si>
    <r>
      <t>7:57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(281°)</t>
    </r>
  </si>
  <si>
    <t>−2:36</t>
  </si>
  <si>
    <r>
      <t>1:26 pm </t>
    </r>
    <r>
      <rPr>
        <sz val="9"/>
        <color rgb="FF777777"/>
        <rFont val="Arial"/>
        <family val="2"/>
      </rPr>
      <t>(56.8°)</t>
    </r>
  </si>
  <si>
    <r>
      <t>6:57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(80°)</t>
    </r>
  </si>
  <si>
    <r>
      <t>7:55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(280°)</t>
    </r>
  </si>
  <si>
    <r>
      <t>1:26 pm </t>
    </r>
    <r>
      <rPr>
        <sz val="9"/>
        <color rgb="FF777777"/>
        <rFont val="Arial"/>
        <family val="2"/>
      </rPr>
      <t>(56.4°)</t>
    </r>
  </si>
  <si>
    <r>
      <t>6:58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(80°)</t>
    </r>
  </si>
  <si>
    <r>
      <t>7:53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(280°)</t>
    </r>
  </si>
  <si>
    <t>−2:37</t>
  </si>
  <si>
    <r>
      <t>1:26 pm </t>
    </r>
    <r>
      <rPr>
        <sz val="9"/>
        <color rgb="FF777777"/>
        <rFont val="Arial"/>
        <family val="2"/>
      </rPr>
      <t>(56.0°)</t>
    </r>
  </si>
  <si>
    <r>
      <t>6:58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(81°)</t>
    </r>
  </si>
  <si>
    <r>
      <t>7:52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(279°)</t>
    </r>
  </si>
  <si>
    <r>
      <t>1:25 pm </t>
    </r>
    <r>
      <rPr>
        <sz val="9"/>
        <color rgb="FF777777"/>
        <rFont val="Arial"/>
        <family val="2"/>
      </rPr>
      <t>(55.7°)</t>
    </r>
  </si>
  <si>
    <r>
      <t>6:59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(81°)</t>
    </r>
  </si>
  <si>
    <r>
      <t>7:50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(279°)</t>
    </r>
  </si>
  <si>
    <r>
      <t>1:25 pm </t>
    </r>
    <r>
      <rPr>
        <sz val="9"/>
        <color rgb="FF777777"/>
        <rFont val="Arial"/>
        <family val="2"/>
      </rPr>
      <t>(55.3°)</t>
    </r>
  </si>
  <si>
    <r>
      <t>7:00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(82°)</t>
    </r>
  </si>
  <si>
    <r>
      <t>7:48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(278°)</t>
    </r>
  </si>
  <si>
    <t>−2:38</t>
  </si>
  <si>
    <r>
      <t>1:25 pm </t>
    </r>
    <r>
      <rPr>
        <sz val="9"/>
        <color rgb="FF777777"/>
        <rFont val="Arial"/>
        <family val="2"/>
      </rPr>
      <t>(54.9°)</t>
    </r>
  </si>
  <si>
    <r>
      <t>7:01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(82°)</t>
    </r>
  </si>
  <si>
    <r>
      <t>7:47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(278°)</t>
    </r>
  </si>
  <si>
    <r>
      <t>1:24 pm </t>
    </r>
    <r>
      <rPr>
        <sz val="9"/>
        <color rgb="FF777777"/>
        <rFont val="Arial"/>
        <family val="2"/>
      </rPr>
      <t>(54.5°)</t>
    </r>
  </si>
  <si>
    <r>
      <t>7:02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(83°)</t>
    </r>
  </si>
  <si>
    <r>
      <t>7:45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(277°)</t>
    </r>
  </si>
  <si>
    <r>
      <t>1:24 pm </t>
    </r>
    <r>
      <rPr>
        <sz val="9"/>
        <color rgb="FF777777"/>
        <rFont val="Arial"/>
        <family val="2"/>
      </rPr>
      <t>(54.2°)</t>
    </r>
  </si>
  <si>
    <r>
      <t>7:03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(83°)</t>
    </r>
  </si>
  <si>
    <r>
      <t>7:43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(277°)</t>
    </r>
  </si>
  <si>
    <r>
      <t>1:24 pm </t>
    </r>
    <r>
      <rPr>
        <sz val="9"/>
        <color rgb="FF777777"/>
        <rFont val="Arial"/>
        <family val="2"/>
      </rPr>
      <t>(53.8°)</t>
    </r>
  </si>
  <si>
    <r>
      <t>7:04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(84°)</t>
    </r>
  </si>
  <si>
    <r>
      <t>7:42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(276°)</t>
    </r>
  </si>
  <si>
    <t>−2:39</t>
  </si>
  <si>
    <r>
      <t>1:23 pm </t>
    </r>
    <r>
      <rPr>
        <sz val="9"/>
        <color rgb="FF777777"/>
        <rFont val="Arial"/>
        <family val="2"/>
      </rPr>
      <t>(53.4°)</t>
    </r>
  </si>
  <si>
    <r>
      <t>7:05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(84°)</t>
    </r>
  </si>
  <si>
    <r>
      <t>7:40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(276°)</t>
    </r>
  </si>
  <si>
    <r>
      <t>1:23 pm </t>
    </r>
    <r>
      <rPr>
        <sz val="9"/>
        <color rgb="FF777777"/>
        <rFont val="Arial"/>
        <family val="2"/>
      </rPr>
      <t>(53.0°)</t>
    </r>
  </si>
  <si>
    <r>
      <t>7:06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(85°)</t>
    </r>
  </si>
  <si>
    <r>
      <t>7:38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(275°)</t>
    </r>
  </si>
  <si>
    <r>
      <t>1:23 pm </t>
    </r>
    <r>
      <rPr>
        <sz val="9"/>
        <color rgb="FF777777"/>
        <rFont val="Arial"/>
        <family val="2"/>
      </rPr>
      <t>(52.6°)</t>
    </r>
  </si>
  <si>
    <r>
      <t>7:07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(85°)</t>
    </r>
  </si>
  <si>
    <r>
      <t>7:37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(275°)</t>
    </r>
  </si>
  <si>
    <r>
      <t>1:22 pm </t>
    </r>
    <r>
      <rPr>
        <sz val="9"/>
        <color rgb="FF777777"/>
        <rFont val="Arial"/>
        <family val="2"/>
      </rPr>
      <t>(52.3°)</t>
    </r>
  </si>
  <si>
    <r>
      <t>7:08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(86°)</t>
    </r>
  </si>
  <si>
    <r>
      <t>7:35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(274°)</t>
    </r>
  </si>
  <si>
    <t>−2:40</t>
  </si>
  <si>
    <r>
      <t>1:22 pm </t>
    </r>
    <r>
      <rPr>
        <sz val="9"/>
        <color rgb="FF777777"/>
        <rFont val="Arial"/>
        <family val="2"/>
      </rPr>
      <t>(51.9°)</t>
    </r>
  </si>
  <si>
    <r>
      <t>7:09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(86°)</t>
    </r>
  </si>
  <si>
    <r>
      <t>7:33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(274°)</t>
    </r>
  </si>
  <si>
    <r>
      <t>1:22 pm </t>
    </r>
    <r>
      <rPr>
        <sz val="9"/>
        <color rgb="FF777777"/>
        <rFont val="Arial"/>
        <family val="2"/>
      </rPr>
      <t>(51.5°)</t>
    </r>
  </si>
  <si>
    <r>
      <t>7:10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(87°)</t>
    </r>
  </si>
  <si>
    <r>
      <t>7:32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(273°)</t>
    </r>
  </si>
  <si>
    <r>
      <t>1:21 pm </t>
    </r>
    <r>
      <rPr>
        <sz val="9"/>
        <color rgb="FF777777"/>
        <rFont val="Arial"/>
        <family val="2"/>
      </rPr>
      <t>(51.1°)</t>
    </r>
  </si>
  <si>
    <r>
      <t>7:11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(87°)</t>
    </r>
  </si>
  <si>
    <r>
      <t>7:30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(273°)</t>
    </r>
  </si>
  <si>
    <r>
      <t>1:21 pm </t>
    </r>
    <r>
      <rPr>
        <sz val="9"/>
        <color rgb="FF777777"/>
        <rFont val="Arial"/>
        <family val="2"/>
      </rPr>
      <t>(50.7°)</t>
    </r>
  </si>
  <si>
    <r>
      <t>7:12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(88°)</t>
    </r>
  </si>
  <si>
    <r>
      <t>7:28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(272°)</t>
    </r>
  </si>
  <si>
    <r>
      <t>1:21 pm </t>
    </r>
    <r>
      <rPr>
        <sz val="9"/>
        <color rgb="FF777777"/>
        <rFont val="Arial"/>
        <family val="2"/>
      </rPr>
      <t>(50.3°)</t>
    </r>
  </si>
  <si>
    <r>
      <t>7:13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(88°)</t>
    </r>
  </si>
  <si>
    <r>
      <t>7:27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(272°)</t>
    </r>
  </si>
  <si>
    <r>
      <t>1:20 pm </t>
    </r>
    <r>
      <rPr>
        <sz val="9"/>
        <color rgb="FF777777"/>
        <rFont val="Arial"/>
        <family val="2"/>
      </rPr>
      <t>(49.9°)</t>
    </r>
  </si>
  <si>
    <r>
      <t>7:14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(89°)</t>
    </r>
  </si>
  <si>
    <r>
      <t>7:25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(271°)</t>
    </r>
  </si>
  <si>
    <r>
      <t>1:20 pm </t>
    </r>
    <r>
      <rPr>
        <sz val="9"/>
        <color rgb="FF777777"/>
        <rFont val="Arial"/>
        <family val="2"/>
      </rPr>
      <t>(49.6°)</t>
    </r>
  </si>
  <si>
    <r>
      <t>7:15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(89°)</t>
    </r>
  </si>
  <si>
    <r>
      <t>7:23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(270°)</t>
    </r>
  </si>
  <si>
    <r>
      <t>1:19 pm </t>
    </r>
    <r>
      <rPr>
        <sz val="9"/>
        <color rgb="FF777777"/>
        <rFont val="Arial"/>
        <family val="2"/>
      </rPr>
      <t>(49.2°)</t>
    </r>
  </si>
  <si>
    <r>
      <t>7:16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(90°)</t>
    </r>
  </si>
  <si>
    <r>
      <t>7:21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(270°)</t>
    </r>
  </si>
  <si>
    <r>
      <t>1:19 pm </t>
    </r>
    <r>
      <rPr>
        <sz val="9"/>
        <color rgb="FF777777"/>
        <rFont val="Arial"/>
        <family val="2"/>
      </rPr>
      <t>(48.8°)</t>
    </r>
  </si>
  <si>
    <r>
      <t>7:17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(90°)</t>
    </r>
  </si>
  <si>
    <r>
      <t>7:20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(269°)</t>
    </r>
  </si>
  <si>
    <r>
      <t>1:19 pm </t>
    </r>
    <r>
      <rPr>
        <sz val="9"/>
        <color rgb="FF777777"/>
        <rFont val="Arial"/>
        <family val="2"/>
      </rPr>
      <t>(48.4°)</t>
    </r>
  </si>
  <si>
    <r>
      <t>7:18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(91°)</t>
    </r>
  </si>
  <si>
    <r>
      <t>7:18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(269°)</t>
    </r>
  </si>
  <si>
    <r>
      <t>1:18 pm </t>
    </r>
    <r>
      <rPr>
        <sz val="9"/>
        <color rgb="FF777777"/>
        <rFont val="Arial"/>
        <family val="2"/>
      </rPr>
      <t>(48.0°)</t>
    </r>
  </si>
  <si>
    <r>
      <t>7:19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(91°)</t>
    </r>
  </si>
  <si>
    <r>
      <t>7:16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(268°)</t>
    </r>
  </si>
  <si>
    <r>
      <t>1:18 pm </t>
    </r>
    <r>
      <rPr>
        <sz val="9"/>
        <color rgb="FF777777"/>
        <rFont val="Arial"/>
        <family val="2"/>
      </rPr>
      <t>(47.6°)</t>
    </r>
  </si>
  <si>
    <r>
      <t>7:20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(92°)</t>
    </r>
  </si>
  <si>
    <r>
      <t>7:15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(268°)</t>
    </r>
  </si>
  <si>
    <r>
      <t>1:18 pm </t>
    </r>
    <r>
      <rPr>
        <sz val="9"/>
        <color rgb="FF777777"/>
        <rFont val="Arial"/>
        <family val="2"/>
      </rPr>
      <t>(47.2°)</t>
    </r>
  </si>
  <si>
    <r>
      <t>7:21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(92°)</t>
    </r>
  </si>
  <si>
    <r>
      <t>7:13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(267°)</t>
    </r>
  </si>
  <si>
    <r>
      <t>1:17 pm </t>
    </r>
    <r>
      <rPr>
        <sz val="9"/>
        <color rgb="FF777777"/>
        <rFont val="Arial"/>
        <family val="2"/>
      </rPr>
      <t>(46.8°)</t>
    </r>
  </si>
  <si>
    <r>
      <t>7:22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(93°)</t>
    </r>
  </si>
  <si>
    <r>
      <t>7:11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(267°)</t>
    </r>
  </si>
  <si>
    <r>
      <t>1:17 pm </t>
    </r>
    <r>
      <rPr>
        <sz val="9"/>
        <color rgb="FF777777"/>
        <rFont val="Arial"/>
        <family val="2"/>
      </rPr>
      <t>(46.4°)</t>
    </r>
  </si>
  <si>
    <r>
      <t>7:23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(93°)</t>
    </r>
  </si>
  <si>
    <r>
      <t>7:10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(266°)</t>
    </r>
  </si>
  <si>
    <r>
      <t>1:17 pm </t>
    </r>
    <r>
      <rPr>
        <sz val="9"/>
        <color rgb="FF777777"/>
        <rFont val="Arial"/>
        <family val="2"/>
      </rPr>
      <t>(46.1°)</t>
    </r>
  </si>
  <si>
    <t>Oct</t>
  </si>
  <si>
    <r>
      <t>7:24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(94°)</t>
    </r>
  </si>
  <si>
    <r>
      <t>7:08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(266°)</t>
    </r>
  </si>
  <si>
    <r>
      <t>1:16 pm </t>
    </r>
    <r>
      <rPr>
        <sz val="9"/>
        <color rgb="FF777777"/>
        <rFont val="Arial"/>
        <family val="2"/>
      </rPr>
      <t>(45.7°)</t>
    </r>
  </si>
  <si>
    <r>
      <t>7:25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(94°)</t>
    </r>
  </si>
  <si>
    <r>
      <t>7:06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(265°)</t>
    </r>
  </si>
  <si>
    <r>
      <t>1:16 pm </t>
    </r>
    <r>
      <rPr>
        <sz val="9"/>
        <color rgb="FF777777"/>
        <rFont val="Arial"/>
        <family val="2"/>
      </rPr>
      <t>(45.3°)</t>
    </r>
  </si>
  <si>
    <r>
      <t>7:26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(95°)</t>
    </r>
  </si>
  <si>
    <r>
      <t>7:05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(265°)</t>
    </r>
  </si>
  <si>
    <r>
      <t>1:16 pm </t>
    </r>
    <r>
      <rPr>
        <sz val="9"/>
        <color rgb="FF777777"/>
        <rFont val="Arial"/>
        <family val="2"/>
      </rPr>
      <t>(44.9°)</t>
    </r>
  </si>
  <si>
    <r>
      <t>7:27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(95°)</t>
    </r>
  </si>
  <si>
    <r>
      <t>7:03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(264°)</t>
    </r>
  </si>
  <si>
    <r>
      <t>1:16 pm </t>
    </r>
    <r>
      <rPr>
        <sz val="9"/>
        <color rgb="FF777777"/>
        <rFont val="Arial"/>
        <family val="2"/>
      </rPr>
      <t>(44.5°)</t>
    </r>
  </si>
  <si>
    <r>
      <t>7:28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(96°)</t>
    </r>
  </si>
  <si>
    <r>
      <t>7:02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(264°)</t>
    </r>
  </si>
  <si>
    <r>
      <t>1:15 pm </t>
    </r>
    <r>
      <rPr>
        <sz val="9"/>
        <color rgb="FF777777"/>
        <rFont val="Arial"/>
        <family val="2"/>
      </rPr>
      <t>(44.1°)</t>
    </r>
  </si>
  <si>
    <r>
      <t>7:29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(96°)</t>
    </r>
  </si>
  <si>
    <r>
      <t>7:00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(263°)</t>
    </r>
  </si>
  <si>
    <r>
      <t>1:15 pm </t>
    </r>
    <r>
      <rPr>
        <sz val="9"/>
        <color rgb="FF777777"/>
        <rFont val="Arial"/>
        <family val="2"/>
      </rPr>
      <t>(43.7°)</t>
    </r>
  </si>
  <si>
    <r>
      <t>7:30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(97°)</t>
    </r>
  </si>
  <si>
    <r>
      <t>6:58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(263°)</t>
    </r>
  </si>
  <si>
    <r>
      <t>1:15 pm </t>
    </r>
    <r>
      <rPr>
        <sz val="9"/>
        <color rgb="FF777777"/>
        <rFont val="Arial"/>
        <family val="2"/>
      </rPr>
      <t>(43.4°)</t>
    </r>
  </si>
  <si>
    <r>
      <t>7:31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(97°)</t>
    </r>
  </si>
  <si>
    <r>
      <t>6:57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(262°)</t>
    </r>
  </si>
  <si>
    <r>
      <t>1:14 pm </t>
    </r>
    <r>
      <rPr>
        <sz val="9"/>
        <color rgb="FF777777"/>
        <rFont val="Arial"/>
        <family val="2"/>
      </rPr>
      <t>(43.0°)</t>
    </r>
  </si>
  <si>
    <r>
      <t>7:33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(98°)</t>
    </r>
  </si>
  <si>
    <r>
      <t>6:55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(262°)</t>
    </r>
  </si>
  <si>
    <r>
      <t>1:14 pm </t>
    </r>
    <r>
      <rPr>
        <sz val="9"/>
        <color rgb="FF777777"/>
        <rFont val="Arial"/>
        <family val="2"/>
      </rPr>
      <t>(42.6°)</t>
    </r>
  </si>
  <si>
    <r>
      <t>7:34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(98°)</t>
    </r>
  </si>
  <si>
    <r>
      <t>6:54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(261°)</t>
    </r>
  </si>
  <si>
    <r>
      <t>1:14 pm </t>
    </r>
    <r>
      <rPr>
        <sz val="9"/>
        <color rgb="FF777777"/>
        <rFont val="Arial"/>
        <family val="2"/>
      </rPr>
      <t>(42.2°)</t>
    </r>
  </si>
  <si>
    <r>
      <t>7:35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(99°)</t>
    </r>
  </si>
  <si>
    <r>
      <t>6:52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(261°)</t>
    </r>
  </si>
  <si>
    <r>
      <t>1:14 pm </t>
    </r>
    <r>
      <rPr>
        <sz val="9"/>
        <color rgb="FF777777"/>
        <rFont val="Arial"/>
        <family val="2"/>
      </rPr>
      <t>(41.8°)</t>
    </r>
  </si>
  <si>
    <r>
      <t>7:36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(99°)</t>
    </r>
  </si>
  <si>
    <r>
      <t>6:50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(260°)</t>
    </r>
  </si>
  <si>
    <r>
      <t>1:13 pm </t>
    </r>
    <r>
      <rPr>
        <sz val="9"/>
        <color rgb="FF777777"/>
        <rFont val="Arial"/>
        <family val="2"/>
      </rPr>
      <t>(41.5°)</t>
    </r>
  </si>
  <si>
    <r>
      <t>7:37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(100°)</t>
    </r>
  </si>
  <si>
    <r>
      <t>6:49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(260°)</t>
    </r>
  </si>
  <si>
    <r>
      <t>1:13 pm </t>
    </r>
    <r>
      <rPr>
        <sz val="9"/>
        <color rgb="FF777777"/>
        <rFont val="Arial"/>
        <family val="2"/>
      </rPr>
      <t>(41.1°)</t>
    </r>
  </si>
  <si>
    <r>
      <t>7:38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(100°)</t>
    </r>
  </si>
  <si>
    <r>
      <t>6:47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(259°)</t>
    </r>
  </si>
  <si>
    <r>
      <t>1:13 pm </t>
    </r>
    <r>
      <rPr>
        <sz val="9"/>
        <color rgb="FF777777"/>
        <rFont val="Arial"/>
        <family val="2"/>
      </rPr>
      <t>(40.7°)</t>
    </r>
  </si>
  <si>
    <r>
      <t>7:39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(101°)</t>
    </r>
  </si>
  <si>
    <r>
      <t>6:46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(259°)</t>
    </r>
  </si>
  <si>
    <r>
      <t>1:13 pm </t>
    </r>
    <r>
      <rPr>
        <sz val="9"/>
        <color rgb="FF777777"/>
        <rFont val="Arial"/>
        <family val="2"/>
      </rPr>
      <t>(40.4°)</t>
    </r>
  </si>
  <si>
    <r>
      <t>7:40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(101°)</t>
    </r>
  </si>
  <si>
    <r>
      <t>6:44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(258°)</t>
    </r>
  </si>
  <si>
    <r>
      <t>1:12 pm </t>
    </r>
    <r>
      <rPr>
        <sz val="9"/>
        <color rgb="FF777777"/>
        <rFont val="Arial"/>
        <family val="2"/>
      </rPr>
      <t>(40.0°)</t>
    </r>
  </si>
  <si>
    <r>
      <t>7:41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(102°)</t>
    </r>
  </si>
  <si>
    <r>
      <t>6:43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(258°)</t>
    </r>
  </si>
  <si>
    <r>
      <t>1:12 pm </t>
    </r>
    <r>
      <rPr>
        <sz val="9"/>
        <color rgb="FF777777"/>
        <rFont val="Arial"/>
        <family val="2"/>
      </rPr>
      <t>(39.6°)</t>
    </r>
  </si>
  <si>
    <r>
      <t>7:42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(102°)</t>
    </r>
  </si>
  <si>
    <r>
      <t>6:41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(257°)</t>
    </r>
  </si>
  <si>
    <r>
      <t>1:12 pm </t>
    </r>
    <r>
      <rPr>
        <sz val="9"/>
        <color rgb="FF777777"/>
        <rFont val="Arial"/>
        <family val="2"/>
      </rPr>
      <t>(39.3°)</t>
    </r>
  </si>
  <si>
    <r>
      <t>7:43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(103°)</t>
    </r>
  </si>
  <si>
    <r>
      <t>6:40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(257°)</t>
    </r>
  </si>
  <si>
    <r>
      <t>1:12 pm </t>
    </r>
    <r>
      <rPr>
        <sz val="9"/>
        <color rgb="FF777777"/>
        <rFont val="Arial"/>
        <family val="2"/>
      </rPr>
      <t>(38.9°)</t>
    </r>
  </si>
  <si>
    <r>
      <t>7:44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(103°)</t>
    </r>
  </si>
  <si>
    <r>
      <t>6:38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(256°)</t>
    </r>
  </si>
  <si>
    <r>
      <t>1:12 pm </t>
    </r>
    <r>
      <rPr>
        <sz val="9"/>
        <color rgb="FF777777"/>
        <rFont val="Arial"/>
        <family val="2"/>
      </rPr>
      <t>(38.6°)</t>
    </r>
  </si>
  <si>
    <r>
      <t>7:46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(104°)</t>
    </r>
  </si>
  <si>
    <r>
      <t>6:37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(256°)</t>
    </r>
  </si>
  <si>
    <r>
      <t>1:12 pm </t>
    </r>
    <r>
      <rPr>
        <sz val="9"/>
        <color rgb="FF777777"/>
        <rFont val="Arial"/>
        <family val="2"/>
      </rPr>
      <t>(38.2°)</t>
    </r>
  </si>
  <si>
    <r>
      <t>7:47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(104°)</t>
    </r>
  </si>
  <si>
    <r>
      <t>6:36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(256°)</t>
    </r>
  </si>
  <si>
    <r>
      <t>1:11 pm </t>
    </r>
    <r>
      <rPr>
        <sz val="9"/>
        <color rgb="FF777777"/>
        <rFont val="Arial"/>
        <family val="2"/>
      </rPr>
      <t>(37.8°)</t>
    </r>
  </si>
  <si>
    <r>
      <t>7:48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(105°)</t>
    </r>
  </si>
  <si>
    <r>
      <t>6:34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(255°)</t>
    </r>
  </si>
  <si>
    <r>
      <t>1:11 pm </t>
    </r>
    <r>
      <rPr>
        <sz val="9"/>
        <color rgb="FF777777"/>
        <rFont val="Arial"/>
        <family val="2"/>
      </rPr>
      <t>(37.5°)</t>
    </r>
  </si>
  <si>
    <r>
      <t>7:49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(105°)</t>
    </r>
  </si>
  <si>
    <r>
      <t>6:33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(255°)</t>
    </r>
  </si>
  <si>
    <r>
      <t>1:11 pm </t>
    </r>
    <r>
      <rPr>
        <sz val="9"/>
        <color rgb="FF777777"/>
        <rFont val="Arial"/>
        <family val="2"/>
      </rPr>
      <t>(37.2°)</t>
    </r>
  </si>
  <si>
    <r>
      <t>7:50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(106°)</t>
    </r>
  </si>
  <si>
    <r>
      <t>6:31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(254°)</t>
    </r>
  </si>
  <si>
    <r>
      <t>1:11 pm </t>
    </r>
    <r>
      <rPr>
        <sz val="9"/>
        <color rgb="FF777777"/>
        <rFont val="Arial"/>
        <family val="2"/>
      </rPr>
      <t>(36.8°)</t>
    </r>
  </si>
  <si>
    <r>
      <t>7:51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(106°)</t>
    </r>
  </si>
  <si>
    <r>
      <t>6:30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(254°)</t>
    </r>
  </si>
  <si>
    <r>
      <t>1:11 pm </t>
    </r>
    <r>
      <rPr>
        <sz val="9"/>
        <color rgb="FF777777"/>
        <rFont val="Arial"/>
        <family val="2"/>
      </rPr>
      <t>(36.5°)</t>
    </r>
  </si>
  <si>
    <r>
      <t>7:52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(107°)</t>
    </r>
  </si>
  <si>
    <r>
      <t>6:29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(253°)</t>
    </r>
  </si>
  <si>
    <r>
      <t>1:11 pm </t>
    </r>
    <r>
      <rPr>
        <sz val="9"/>
        <color rgb="FF777777"/>
        <rFont val="Arial"/>
        <family val="2"/>
      </rPr>
      <t>(36.1°)</t>
    </r>
  </si>
  <si>
    <r>
      <t>7:54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(107°)</t>
    </r>
  </si>
  <si>
    <r>
      <t>6:28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(253°)</t>
    </r>
  </si>
  <si>
    <r>
      <t>1:11 pm </t>
    </r>
    <r>
      <rPr>
        <sz val="9"/>
        <color rgb="FF777777"/>
        <rFont val="Arial"/>
        <family val="2"/>
      </rPr>
      <t>(35.8°)</t>
    </r>
  </si>
  <si>
    <r>
      <t>7:55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(107°)</t>
    </r>
  </si>
  <si>
    <r>
      <t>6:26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(252°)</t>
    </r>
  </si>
  <si>
    <r>
      <t>1:11 pm </t>
    </r>
    <r>
      <rPr>
        <sz val="9"/>
        <color rgb="FF777777"/>
        <rFont val="Arial"/>
        <family val="2"/>
      </rPr>
      <t>(35.5°)</t>
    </r>
  </si>
  <si>
    <r>
      <t>7:56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(108°)</t>
    </r>
  </si>
  <si>
    <r>
      <t>6:25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(252°)</t>
    </r>
  </si>
  <si>
    <r>
      <t>1:11 pm </t>
    </r>
    <r>
      <rPr>
        <sz val="9"/>
        <color rgb="FF777777"/>
        <rFont val="Arial"/>
        <family val="2"/>
      </rPr>
      <t>(35.1°)</t>
    </r>
  </si>
  <si>
    <r>
      <t>7:57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(108°)</t>
    </r>
  </si>
  <si>
    <r>
      <t>6:24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(251°)</t>
    </r>
  </si>
  <si>
    <r>
      <t>1:11 pm </t>
    </r>
    <r>
      <rPr>
        <sz val="9"/>
        <color rgb="FF777777"/>
        <rFont val="Arial"/>
        <family val="2"/>
      </rPr>
      <t>(34.8°)</t>
    </r>
  </si>
  <si>
    <t>Nov</t>
  </si>
  <si>
    <r>
      <t>7:58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(109°)</t>
    </r>
  </si>
  <si>
    <r>
      <t>6:23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(251°)</t>
    </r>
  </si>
  <si>
    <r>
      <t>1:11 pm </t>
    </r>
    <r>
      <rPr>
        <sz val="9"/>
        <color rgb="FF777777"/>
        <rFont val="Arial"/>
        <family val="2"/>
      </rPr>
      <t>(34.5°)</t>
    </r>
  </si>
  <si>
    <r>
      <t>7:59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(109°)</t>
    </r>
  </si>
  <si>
    <r>
      <t>6:21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(251°)</t>
    </r>
  </si>
  <si>
    <r>
      <t>1:11 pm </t>
    </r>
    <r>
      <rPr>
        <sz val="9"/>
        <color rgb="FF777777"/>
        <rFont val="Arial"/>
        <family val="2"/>
      </rPr>
      <t>(34.2°)</t>
    </r>
  </si>
  <si>
    <r>
      <t>8:01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(110°)</t>
    </r>
  </si>
  <si>
    <r>
      <t>6:20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(250°)</t>
    </r>
  </si>
  <si>
    <r>
      <t>1:11 pm </t>
    </r>
    <r>
      <rPr>
        <sz val="9"/>
        <color rgb="FF777777"/>
        <rFont val="Arial"/>
        <family val="2"/>
      </rPr>
      <t>(33.9°)</t>
    </r>
  </si>
  <si>
    <r>
      <t>8:02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(110°)</t>
    </r>
  </si>
  <si>
    <r>
      <t>6:19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(250°)</t>
    </r>
  </si>
  <si>
    <r>
      <t>1:11 pm </t>
    </r>
    <r>
      <rPr>
        <sz val="9"/>
        <color rgb="FF777777"/>
        <rFont val="Arial"/>
        <family val="2"/>
      </rPr>
      <t>(33.6°)</t>
    </r>
  </si>
  <si>
    <r>
      <t>8:03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(110°)</t>
    </r>
  </si>
  <si>
    <r>
      <t>6:18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(249°)</t>
    </r>
  </si>
  <si>
    <t>−2:17</t>
  </si>
  <si>
    <r>
      <t>1:11 pm </t>
    </r>
    <r>
      <rPr>
        <sz val="9"/>
        <color rgb="FF777777"/>
        <rFont val="Arial"/>
        <family val="2"/>
      </rPr>
      <t>(33.3°)</t>
    </r>
  </si>
  <si>
    <t>Note: hours shift because clocks change backward 1 hour. (See the note below this table for details)</t>
  </si>
  <si>
    <r>
      <t>7:04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(111°)</t>
    </r>
  </si>
  <si>
    <r>
      <t>5:17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(249°)</t>
    </r>
  </si>
  <si>
    <r>
      <t>12:11 pm </t>
    </r>
    <r>
      <rPr>
        <sz val="9"/>
        <color rgb="FF777777"/>
        <rFont val="Arial"/>
        <family val="2"/>
      </rPr>
      <t>(33.0°)</t>
    </r>
  </si>
  <si>
    <r>
      <t>7:05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(111°)</t>
    </r>
  </si>
  <si>
    <r>
      <t>5:16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(249°)</t>
    </r>
  </si>
  <si>
    <r>
      <t>12:11 pm </t>
    </r>
    <r>
      <rPr>
        <sz val="9"/>
        <color rgb="FF777777"/>
        <rFont val="Arial"/>
        <family val="2"/>
      </rPr>
      <t>(32.7°)</t>
    </r>
  </si>
  <si>
    <r>
      <t>7:06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(112°)</t>
    </r>
  </si>
  <si>
    <r>
      <t>5:15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(248°)</t>
    </r>
  </si>
  <si>
    <r>
      <t>12:11 pm </t>
    </r>
    <r>
      <rPr>
        <sz val="9"/>
        <color rgb="FF777777"/>
        <rFont val="Arial"/>
        <family val="2"/>
      </rPr>
      <t>(32.4°)</t>
    </r>
  </si>
  <si>
    <r>
      <t>7:08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(112°)</t>
    </r>
  </si>
  <si>
    <r>
      <t>5:14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(248°)</t>
    </r>
  </si>
  <si>
    <t>−2:10</t>
  </si>
  <si>
    <r>
      <t>12:11 pm </t>
    </r>
    <r>
      <rPr>
        <sz val="9"/>
        <color rgb="FF777777"/>
        <rFont val="Arial"/>
        <family val="2"/>
      </rPr>
      <t>(32.1°)</t>
    </r>
  </si>
  <si>
    <r>
      <t>7:09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(112°)</t>
    </r>
  </si>
  <si>
    <r>
      <t>5:13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(247°)</t>
    </r>
  </si>
  <si>
    <r>
      <t>12:11 pm </t>
    </r>
    <r>
      <rPr>
        <sz val="9"/>
        <color rgb="FF777777"/>
        <rFont val="Arial"/>
        <family val="2"/>
      </rPr>
      <t>(31.8°)</t>
    </r>
  </si>
  <si>
    <r>
      <t>7:10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(113°)</t>
    </r>
  </si>
  <si>
    <r>
      <t>5:12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(247°)</t>
    </r>
  </si>
  <si>
    <r>
      <t>12:11 pm </t>
    </r>
    <r>
      <rPr>
        <sz val="9"/>
        <color rgb="FF777777"/>
        <rFont val="Arial"/>
        <family val="2"/>
      </rPr>
      <t>(31.6°)</t>
    </r>
  </si>
  <si>
    <r>
      <t>7:11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(113°)</t>
    </r>
  </si>
  <si>
    <r>
      <t>5:11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(247°)</t>
    </r>
  </si>
  <si>
    <t>−2:05</t>
  </si>
  <si>
    <r>
      <t>12:11 pm </t>
    </r>
    <r>
      <rPr>
        <sz val="9"/>
        <color rgb="FF777777"/>
        <rFont val="Arial"/>
        <family val="2"/>
      </rPr>
      <t>(31.3°)</t>
    </r>
  </si>
  <si>
    <r>
      <t>7:12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(114°)</t>
    </r>
  </si>
  <si>
    <r>
      <t>5:10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(246°)</t>
    </r>
  </si>
  <si>
    <t>−2:03</t>
  </si>
  <si>
    <r>
      <t>12:11 pm </t>
    </r>
    <r>
      <rPr>
        <sz val="9"/>
        <color rgb="FF777777"/>
        <rFont val="Arial"/>
        <family val="2"/>
      </rPr>
      <t>(31.0°)</t>
    </r>
  </si>
  <si>
    <r>
      <t>7:14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(114°)</t>
    </r>
  </si>
  <si>
    <r>
      <t>5:09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(246°)</t>
    </r>
  </si>
  <si>
    <r>
      <t>12:12 pm </t>
    </r>
    <r>
      <rPr>
        <sz val="9"/>
        <color rgb="FF777777"/>
        <rFont val="Arial"/>
        <family val="2"/>
      </rPr>
      <t>(30.8°)</t>
    </r>
  </si>
  <si>
    <r>
      <t>7:15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(114°)</t>
    </r>
  </si>
  <si>
    <r>
      <t>5:08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(246°)</t>
    </r>
  </si>
  <si>
    <r>
      <t>12:12 pm </t>
    </r>
    <r>
      <rPr>
        <sz val="9"/>
        <color rgb="FF777777"/>
        <rFont val="Arial"/>
        <family val="2"/>
      </rPr>
      <t>(30.5°)</t>
    </r>
  </si>
  <si>
    <r>
      <t>7:16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(115°)</t>
    </r>
  </si>
  <si>
    <r>
      <t>5:08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(245°)</t>
    </r>
  </si>
  <si>
    <r>
      <t>12:12 pm </t>
    </r>
    <r>
      <rPr>
        <sz val="9"/>
        <color rgb="FF777777"/>
        <rFont val="Arial"/>
        <family val="2"/>
      </rPr>
      <t>(30.3°)</t>
    </r>
  </si>
  <si>
    <r>
      <t>7:17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(115°)</t>
    </r>
  </si>
  <si>
    <r>
      <t>5:07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(245°)</t>
    </r>
  </si>
  <si>
    <r>
      <t>12:12 pm </t>
    </r>
    <r>
      <rPr>
        <sz val="9"/>
        <color rgb="FF777777"/>
        <rFont val="Arial"/>
        <family val="2"/>
      </rPr>
      <t>(30.0°)</t>
    </r>
  </si>
  <si>
    <r>
      <t>7:18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(115°)</t>
    </r>
  </si>
  <si>
    <r>
      <t>5:06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(245°)</t>
    </r>
  </si>
  <si>
    <t>−1:52</t>
  </si>
  <si>
    <r>
      <t>12:12 pm </t>
    </r>
    <r>
      <rPr>
        <sz val="9"/>
        <color rgb="FF777777"/>
        <rFont val="Arial"/>
        <family val="2"/>
      </rPr>
      <t>(29.8°)</t>
    </r>
  </si>
  <si>
    <r>
      <t>7:19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(116°)</t>
    </r>
  </si>
  <si>
    <r>
      <t>5:06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</si>
  <si>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r>
      <t>12:13 pm </t>
    </r>
    <r>
      <rPr>
        <sz val="9"/>
        <color rgb="FF777777"/>
        <rFont val="Arial"/>
        <family val="2"/>
      </rPr>
      <t>(29.6°)</t>
    </r>
  </si>
  <si>
    <r>
      <t>7:20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(116°)</t>
    </r>
  </si>
  <si>
    <r>
      <t>5:05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</si>
  <si>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r>
      <t>12:13 pm </t>
    </r>
    <r>
      <rPr>
        <sz val="9"/>
        <color rgb="FF777777"/>
        <rFont val="Arial"/>
        <family val="2"/>
      </rPr>
      <t>(29.3°)</t>
    </r>
  </si>
  <si>
    <r>
      <t>7:22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(116°)</t>
    </r>
  </si>
  <si>
    <r>
      <t>5:04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(244°)</t>
    </r>
  </si>
  <si>
    <t>−1:45</t>
  </si>
  <si>
    <r>
      <t>12:13 pm </t>
    </r>
    <r>
      <rPr>
        <sz val="9"/>
        <color rgb="FF777777"/>
        <rFont val="Arial"/>
        <family val="2"/>
      </rPr>
      <t>(29.1°)</t>
    </r>
  </si>
  <si>
    <r>
      <t>7:23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(116°)</t>
    </r>
  </si>
  <si>
    <r>
      <t>5:04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(243°)</t>
    </r>
  </si>
  <si>
    <t>−1:42</t>
  </si>
  <si>
    <r>
      <t>12:13 pm </t>
    </r>
    <r>
      <rPr>
        <sz val="9"/>
        <color rgb="FF777777"/>
        <rFont val="Arial"/>
        <family val="2"/>
      </rPr>
      <t>(28.9°)</t>
    </r>
  </si>
  <si>
    <r>
      <t>7:24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(117°)</t>
    </r>
  </si>
  <si>
    <r>
      <t>5:03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(243°)</t>
    </r>
  </si>
  <si>
    <t>−1:40</t>
  </si>
  <si>
    <r>
      <t>12:14 pm </t>
    </r>
    <r>
      <rPr>
        <sz val="9"/>
        <color rgb="FF777777"/>
        <rFont val="Arial"/>
        <family val="2"/>
      </rPr>
      <t>(28.7°)</t>
    </r>
  </si>
  <si>
    <r>
      <t>7:25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(117°)</t>
    </r>
  </si>
  <si>
    <t>−1:37</t>
  </si>
  <si>
    <r>
      <t>12:14 pm </t>
    </r>
    <r>
      <rPr>
        <sz val="9"/>
        <color rgb="FF777777"/>
        <rFont val="Arial"/>
        <family val="2"/>
      </rPr>
      <t>(28.5°)</t>
    </r>
  </si>
  <si>
    <r>
      <t>7:26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(117°)</t>
    </r>
  </si>
  <si>
    <r>
      <t>5:02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(243°)</t>
    </r>
  </si>
  <si>
    <r>
      <t>12:14 pm </t>
    </r>
    <r>
      <rPr>
        <sz val="9"/>
        <color rgb="FF777777"/>
        <rFont val="Arial"/>
        <family val="2"/>
      </rPr>
      <t>(28.3°)</t>
    </r>
  </si>
  <si>
    <r>
      <t>7:27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</si>
  <si>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r>
      <t>5:02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</si>
  <si>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r>
      <t>12:15 pm </t>
    </r>
    <r>
      <rPr>
        <sz val="9"/>
        <color rgb="FF777777"/>
        <rFont val="Arial"/>
        <family val="2"/>
      </rPr>
      <t>(28.1°)</t>
    </r>
  </si>
  <si>
    <r>
      <t>7:28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</si>
  <si>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r>
      <t>5:01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(242°)</t>
    </r>
  </si>
  <si>
    <r>
      <t>12:15 pm </t>
    </r>
    <r>
      <rPr>
        <sz val="9"/>
        <color rgb="FF777777"/>
        <rFont val="Arial"/>
        <family val="2"/>
      </rPr>
      <t>(28.0°)</t>
    </r>
  </si>
  <si>
    <r>
      <t>7:29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</si>
  <si>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t>−1:25</t>
  </si>
  <si>
    <r>
      <t>12:15 pm </t>
    </r>
    <r>
      <rPr>
        <sz val="9"/>
        <color rgb="FF777777"/>
        <rFont val="Arial"/>
        <family val="2"/>
      </rPr>
      <t>(27.8°)</t>
    </r>
  </si>
  <si>
    <r>
      <t>7:30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</si>
  <si>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t>−1:22</t>
  </si>
  <si>
    <r>
      <t>12:16 pm </t>
    </r>
    <r>
      <rPr>
        <sz val="9"/>
        <color rgb="FF777777"/>
        <rFont val="Arial"/>
        <family val="2"/>
      </rPr>
      <t>(27.6°)</t>
    </r>
  </si>
  <si>
    <r>
      <t>7:31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(118°)</t>
    </r>
  </si>
  <si>
    <r>
      <t>5:00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(241°)</t>
    </r>
  </si>
  <si>
    <t>−1:19</t>
  </si>
  <si>
    <r>
      <t>12:16 pm </t>
    </r>
    <r>
      <rPr>
        <sz val="9"/>
        <color rgb="FF777777"/>
        <rFont val="Arial"/>
        <family val="2"/>
      </rPr>
      <t>(27.5°)</t>
    </r>
  </si>
  <si>
    <t>Dec</t>
  </si>
  <si>
    <r>
      <t>7:32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(119°)</t>
    </r>
  </si>
  <si>
    <t>−1:16</t>
  </si>
  <si>
    <r>
      <t>12:16 pm </t>
    </r>
    <r>
      <rPr>
        <sz val="9"/>
        <color rgb="FF777777"/>
        <rFont val="Arial"/>
        <family val="2"/>
      </rPr>
      <t>(27.3°)</t>
    </r>
  </si>
  <si>
    <r>
      <t>7:33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(119°)</t>
    </r>
  </si>
  <si>
    <t>−1:13</t>
  </si>
  <si>
    <r>
      <t>12:17 pm </t>
    </r>
    <r>
      <rPr>
        <sz val="9"/>
        <color rgb="FF777777"/>
        <rFont val="Arial"/>
        <family val="2"/>
      </rPr>
      <t>(27.2°)</t>
    </r>
  </si>
  <si>
    <r>
      <t>7:34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(119°)</t>
    </r>
  </si>
  <si>
    <t>−1:09</t>
  </si>
  <si>
    <r>
      <t>12:17 pm </t>
    </r>
    <r>
      <rPr>
        <sz val="9"/>
        <color rgb="FF777777"/>
        <rFont val="Arial"/>
        <family val="2"/>
      </rPr>
      <t>(27.0°)</t>
    </r>
  </si>
  <si>
    <r>
      <t>7:35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(119°)</t>
    </r>
  </si>
  <si>
    <t>−1:06</t>
  </si>
  <si>
    <r>
      <t>12:18 pm </t>
    </r>
    <r>
      <rPr>
        <sz val="9"/>
        <color rgb="FF777777"/>
        <rFont val="Arial"/>
        <family val="2"/>
      </rPr>
      <t>(26.9°)</t>
    </r>
  </si>
  <si>
    <r>
      <t>7:36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(119°)</t>
    </r>
  </si>
  <si>
    <r>
      <t>4:59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</si>
  <si>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t>−1:02</t>
  </si>
  <si>
    <r>
      <t>12:18 pm </t>
    </r>
    <r>
      <rPr>
        <sz val="9"/>
        <color rgb="FF777777"/>
        <rFont val="Arial"/>
        <family val="2"/>
      </rPr>
      <t>(26.8°)</t>
    </r>
  </si>
  <si>
    <r>
      <t>7:37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</si>
  <si>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t>−0:59</t>
  </si>
  <si>
    <r>
      <t>12:18 pm </t>
    </r>
    <r>
      <rPr>
        <sz val="9"/>
        <color rgb="FF777777"/>
        <rFont val="Arial"/>
        <family val="2"/>
      </rPr>
      <t>(26.7°)</t>
    </r>
  </si>
  <si>
    <r>
      <t>7:38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</si>
  <si>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r>
      <t>12:19 pm </t>
    </r>
    <r>
      <rPr>
        <sz val="9"/>
        <color rgb="FF777777"/>
        <rFont val="Arial"/>
        <family val="2"/>
      </rPr>
      <t>(26.6°)</t>
    </r>
  </si>
  <si>
    <r>
      <t>7:39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</si>
  <si>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r>
      <t>12:19 pm </t>
    </r>
    <r>
      <rPr>
        <sz val="9"/>
        <color rgb="FF777777"/>
        <rFont val="Arial"/>
        <family val="2"/>
      </rPr>
      <t>(26.4°)</t>
    </r>
  </si>
  <si>
    <r>
      <t>7:40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</si>
  <si>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r>
      <t>12:20 pm </t>
    </r>
    <r>
      <rPr>
        <sz val="9"/>
        <color rgb="FF777777"/>
        <rFont val="Arial"/>
        <family val="2"/>
      </rPr>
      <t>(26.4°)</t>
    </r>
  </si>
  <si>
    <r>
      <t>7:41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</si>
  <si>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t>−0:44</t>
  </si>
  <si>
    <r>
      <t>12:20 pm </t>
    </r>
    <r>
      <rPr>
        <sz val="9"/>
        <color rgb="FF777777"/>
        <rFont val="Arial"/>
        <family val="2"/>
      </rPr>
      <t>(26.3°)</t>
    </r>
  </si>
  <si>
    <r>
      <t>7:42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</si>
  <si>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r>
      <t>5:00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</si>
  <si>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t>−0:40</t>
  </si>
  <si>
    <r>
      <t>12:21 pm </t>
    </r>
    <r>
      <rPr>
        <sz val="9"/>
        <color rgb="FF777777"/>
        <rFont val="Arial"/>
        <family val="2"/>
      </rPr>
      <t>(26.2°)</t>
    </r>
  </si>
  <si>
    <t>−0:36</t>
  </si>
  <si>
    <r>
      <t>12:21 pm </t>
    </r>
    <r>
      <rPr>
        <sz val="9"/>
        <color rgb="FF777777"/>
        <rFont val="Arial"/>
        <family val="2"/>
      </rPr>
      <t>(26.1°)</t>
    </r>
  </si>
  <si>
    <r>
      <t>7:43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(120°)</t>
    </r>
  </si>
  <si>
    <r>
      <t>5:00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</si>
  <si>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−0:32</t>
  </si>
  <si>
    <r>
      <t>12:22 pm </t>
    </r>
    <r>
      <rPr>
        <sz val="9"/>
        <color rgb="FF777777"/>
        <rFont val="Arial"/>
        <family val="2"/>
      </rPr>
      <t>(26.1°)</t>
    </r>
  </si>
  <si>
    <r>
      <t>7:44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</si>
  <si>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t>−0:28</t>
  </si>
  <si>
    <r>
      <t>12:22 pm </t>
    </r>
    <r>
      <rPr>
        <sz val="9"/>
        <color rgb="FF777777"/>
        <rFont val="Arial"/>
        <family val="2"/>
      </rPr>
      <t>(26.0°)</t>
    </r>
  </si>
  <si>
    <r>
      <t>7:45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</si>
  <si>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r>
      <t>5:01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</si>
  <si>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−0:24</t>
  </si>
  <si>
    <r>
      <t>12:23 pm </t>
    </r>
    <r>
      <rPr>
        <sz val="9"/>
        <color rgb="FF777777"/>
        <rFont val="Arial"/>
        <family val="2"/>
      </rPr>
      <t>(26.0°)</t>
    </r>
  </si>
  <si>
    <t>−0:20</t>
  </si>
  <si>
    <r>
      <t>12:23 pm </t>
    </r>
    <r>
      <rPr>
        <sz val="9"/>
        <color rgb="FF777777"/>
        <rFont val="Arial"/>
        <family val="2"/>
      </rPr>
      <t>(25.9°)</t>
    </r>
  </si>
  <si>
    <r>
      <t>7:46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</si>
  <si>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r>
      <t>12:24 pm </t>
    </r>
    <r>
      <rPr>
        <sz val="9"/>
        <color rgb="FF777777"/>
        <rFont val="Arial"/>
        <family val="2"/>
      </rPr>
      <t>(25.9°)</t>
    </r>
  </si>
  <si>
    <r>
      <t>5:02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</si>
  <si>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r>
      <t>7:47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</si>
  <si>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r>
      <t>12:25 pm </t>
    </r>
    <r>
      <rPr>
        <sz val="9"/>
        <color rgb="FF777777"/>
        <rFont val="Arial"/>
        <family val="2"/>
      </rPr>
      <t>(25.8°)</t>
    </r>
  </si>
  <si>
    <r>
      <t>7:48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</si>
  <si>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t>−0:04</t>
  </si>
  <si>
    <r>
      <t>5:03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</si>
  <si>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&lt; 1s</t>
  </si>
  <si>
    <r>
      <t>12:26 pm </t>
    </r>
    <r>
      <rPr>
        <sz val="9"/>
        <color rgb="FF777777"/>
        <rFont val="Arial"/>
        <family val="2"/>
      </rPr>
      <t>(25.8°)</t>
    </r>
  </si>
  <si>
    <r>
      <t>7:49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</si>
  <si>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r>
      <t>5:04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</si>
  <si>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+0:03</t>
  </si>
  <si>
    <t>+0:07</t>
  </si>
  <si>
    <r>
      <t>12:26 pm </t>
    </r>
    <r>
      <rPr>
        <sz val="9"/>
        <color rgb="FF777777"/>
        <rFont val="Arial"/>
        <family val="2"/>
      </rPr>
      <t>(25.9°)</t>
    </r>
  </si>
  <si>
    <r>
      <t>5:05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</si>
  <si>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+0:11</t>
  </si>
  <si>
    <r>
      <t>12:27 pm </t>
    </r>
    <r>
      <rPr>
        <sz val="9"/>
        <color rgb="FF777777"/>
        <rFont val="Arial"/>
        <family val="2"/>
      </rPr>
      <t>(25.9°)</t>
    </r>
  </si>
  <si>
    <r>
      <t>7:50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</si>
  <si>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t>+0:15</t>
  </si>
  <si>
    <r>
      <t>5:06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</si>
  <si>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+0:19</t>
  </si>
  <si>
    <r>
      <t>12:28 pm </t>
    </r>
    <r>
      <rPr>
        <sz val="9"/>
        <color rgb="FF777777"/>
        <rFont val="Arial"/>
        <family val="2"/>
      </rPr>
      <t>(25.9°)</t>
    </r>
  </si>
  <si>
    <r>
      <t>5:07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(239°)</t>
    </r>
  </si>
  <si>
    <t>+0:23</t>
  </si>
  <si>
    <r>
      <t>12:28 pm </t>
    </r>
    <r>
      <rPr>
        <sz val="9"/>
        <color rgb="FF777777"/>
        <rFont val="Arial"/>
        <family val="2"/>
      </rPr>
      <t>(26.0°)</t>
    </r>
  </si>
  <si>
    <r>
      <t>7:51 am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(121°)</t>
    </r>
  </si>
  <si>
    <t>+0:27</t>
  </si>
  <si>
    <r>
      <t>12:29 pm </t>
    </r>
    <r>
      <rPr>
        <sz val="9"/>
        <color rgb="FF777777"/>
        <rFont val="Arial"/>
        <family val="2"/>
      </rPr>
      <t>(26.0°)</t>
    </r>
  </si>
  <si>
    <r>
      <t>5:08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</si>
  <si>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r>
      <t>12:29 pm </t>
    </r>
    <r>
      <rPr>
        <sz val="9"/>
        <color rgb="FF777777"/>
        <rFont val="Arial"/>
        <family val="2"/>
      </rPr>
      <t>(26.1°)</t>
    </r>
  </si>
  <si>
    <r>
      <t>5:09 pm </t>
    </r>
    <r>
      <rPr>
        <sz val="15.4"/>
        <color rgb="FF454545"/>
        <rFont val="Lucida Sans Unicode"/>
        <family val="2"/>
      </rPr>
      <t>↑</t>
    </r>
    <r>
      <rPr>
        <sz val="10"/>
        <color rgb="FF454545"/>
        <rFont val="Arial"/>
        <family val="2"/>
      </rPr>
      <t> </t>
    </r>
    <r>
      <rPr>
        <sz val="9"/>
        <color rgb="FF777777"/>
        <rFont val="Arial"/>
        <family val="2"/>
      </rPr>
      <t>(240°)</t>
    </r>
  </si>
  <si>
    <r>
      <t>12:30 pm </t>
    </r>
    <r>
      <rPr>
        <sz val="9"/>
        <color rgb="FF777777"/>
        <rFont val="Arial"/>
        <family val="2"/>
      </rPr>
      <t>(26.2°)</t>
    </r>
  </si>
  <si>
    <t>+0:38</t>
  </si>
  <si>
    <t>STD</t>
  </si>
  <si>
    <t>Avg Dayligh Hours</t>
  </si>
  <si>
    <t>Hour</t>
  </si>
  <si>
    <t>min</t>
  </si>
  <si>
    <t>50% used</t>
  </si>
  <si>
    <t>Total min</t>
  </si>
  <si>
    <t>Needed Rounds</t>
  </si>
  <si>
    <t>max rounds played by Sunlight w/ foursome</t>
  </si>
  <si>
    <t>*Rounds Played</t>
  </si>
  <si>
    <t>* rounds played are based on 18 holes played by a 4 some, 1 round played means 1 golfers played 18 holes a max of 4 golfers can play every 10 mins</t>
  </si>
  <si>
    <t>Max Avalable tee times</t>
  </si>
  <si>
    <t>Ave. Usable Light</t>
  </si>
  <si>
    <t xml:space="preserve">Given that it take 4 hours to play 18 holes, 2 golfers can play 9 hole in 2 hours to count for a full round of golf </t>
  </si>
  <si>
    <t xml:space="preserve">* a round is considered for 1 person to play 18 holes </t>
  </si>
  <si>
    <t>without water</t>
  </si>
  <si>
    <t>inch/week</t>
  </si>
  <si>
    <t>conversion</t>
  </si>
  <si>
    <t>Min water use (AC)</t>
  </si>
  <si>
    <t>range</t>
  </si>
  <si>
    <t>putting green</t>
  </si>
  <si>
    <t>Total</t>
  </si>
  <si>
    <t>$/ft^3</t>
  </si>
  <si>
    <t>$/gal</t>
  </si>
  <si>
    <t>60% used</t>
  </si>
  <si>
    <t>Population</t>
  </si>
  <si>
    <t>    20 to 24 years</t>
  </si>
  <si>
    <t>    25 to 29 years</t>
  </si>
  <si>
    <t>    30 to 34 years</t>
  </si>
  <si>
    <t>    55 to 59 years</t>
  </si>
  <si>
    <t>    60 to 64 years</t>
  </si>
  <si>
    <t>    65 to 69 years</t>
  </si>
  <si>
    <t>    70 to 74 years</t>
  </si>
  <si>
    <t>    75 to 79 years</t>
  </si>
  <si>
    <t>    80 to 84 years</t>
  </si>
  <si>
    <t>    85 years and over</t>
  </si>
  <si>
    <t>Margin of Error</t>
  </si>
  <si>
    <t>Total population</t>
  </si>
  <si>
    <t>AGE</t>
  </si>
  <si>
    <t>    Under 5 years</t>
  </si>
  <si>
    <t>    5 to 9 years</t>
  </si>
  <si>
    <t>    10 to 14 years</t>
  </si>
  <si>
    <t>    15 to 19 years</t>
  </si>
  <si>
    <t>    35 to 39 years</t>
  </si>
  <si>
    <t>    40 to 44 years</t>
  </si>
  <si>
    <t>    45 to 49 years</t>
  </si>
  <si>
    <t>    50 to 54 years</t>
  </si>
  <si>
    <t>males</t>
  </si>
  <si>
    <t>Percent</t>
  </si>
  <si>
    <t>(X)</t>
  </si>
  <si>
    <t>%</t>
  </si>
  <si>
    <t>Male</t>
  </si>
  <si>
    <t>Femail</t>
  </si>
  <si>
    <t>    AGE</t>
  </si>
  <si>
    <t>        Under 5 years</t>
  </si>
  <si>
    <t>        5 to 9 years</t>
  </si>
  <si>
    <t>        10 to 14 years</t>
  </si>
  <si>
    <t>        15 to 19 years</t>
  </si>
  <si>
    <t>        20 to 24 years</t>
  </si>
  <si>
    <t>        25 to 29 years</t>
  </si>
  <si>
    <t>        30 to 34 years</t>
  </si>
  <si>
    <t>        35 to 39 years</t>
  </si>
  <si>
    <t>        40 to 44 years</t>
  </si>
  <si>
    <t>        45 to 49 years</t>
  </si>
  <si>
    <t>        50 to 54 years</t>
  </si>
  <si>
    <t>        55 to 59 years</t>
  </si>
  <si>
    <t>        60 to 64 years</t>
  </si>
  <si>
    <t>        65 to 69 years</t>
  </si>
  <si>
    <t>        70 to 74 years</t>
  </si>
  <si>
    <t>        75 to 79 years</t>
  </si>
  <si>
    <t>        80 to 84 years</t>
  </si>
  <si>
    <t>        85 years and over</t>
  </si>
  <si>
    <t>Female</t>
  </si>
  <si>
    <t>Margin</t>
  </si>
  <si>
    <t>Pecent</t>
  </si>
  <si>
    <t>Error</t>
  </si>
  <si>
    <t>total</t>
  </si>
  <si>
    <t>Monday</t>
  </si>
  <si>
    <t>Tuesday</t>
  </si>
  <si>
    <t>Thursday</t>
  </si>
  <si>
    <t>gallon per day</t>
  </si>
  <si>
    <t>Avg Daylight Hours</t>
  </si>
  <si>
    <t>Females</t>
  </si>
  <si>
    <t>8:30-10:30</t>
  </si>
  <si>
    <t>12:00-6:00</t>
  </si>
  <si>
    <t>Times</t>
  </si>
  <si>
    <t>Available Working Hours</t>
  </si>
  <si>
    <t>Max Available tee times in 10 min increments</t>
  </si>
  <si>
    <t>Break Even</t>
  </si>
  <si>
    <r>
      <t>Needed Rounds (x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</si>
  <si>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Income per round (x</t>
    </r>
    <r>
      <rPr>
        <b/>
        <vertAlign val="subscript"/>
        <sz val="11"/>
        <color theme="1"/>
        <rFont val="Calibri"/>
        <family val="2"/>
        <scheme val="minor"/>
      </rPr>
      <t>$PR)</t>
    </r>
  </si>
  <si>
    <t>females</t>
  </si>
  <si>
    <t>Months</t>
  </si>
  <si>
    <t>Mins within the Month</t>
  </si>
  <si>
    <t>Water usage</t>
  </si>
  <si>
    <t>year</t>
  </si>
  <si>
    <t>Variety</t>
  </si>
  <si>
    <t>Marketing</t>
  </si>
  <si>
    <t>Fix-Irr</t>
  </si>
  <si>
    <t>Cost</t>
  </si>
  <si>
    <t>Net Profit</t>
  </si>
  <si>
    <t>$/round</t>
  </si>
  <si>
    <t>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</si>
</sst>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h:mm\.s"/>
    <numFmt numFmtId="166" formatCode="0.0%"/>
    <numFmt numFmtId="167" formatCode="0.000%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454545"/>
      <name val="Arial"/>
      <family val="2"/>
    </font>
    <font>
      <sz val="10"/>
      <color rgb="FF454545"/>
      <name val="Arial"/>
      <family val="2"/>
    </font>
    <font>
      <sz val="15.4"/>
      <color rgb="FF454545"/>
      <name val="Lucida Sans Unicode"/>
      <family val="2"/>
    </font>
    <font>
      <sz val="9"/>
      <color rgb="FF777777"/>
      <name val="Arial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3FAC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DDDDDD"/>
      </top>
      <bottom/>
      <diagonal/>
    </border>
    <border>
      <left style="thick">
        <color rgb="FFCCCCCC"/>
      </left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ck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/>
      <diagonal/>
    </border>
    <border>
      <left style="thick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/>
      <right style="medium">
        <color rgb="FFCCCCCC"/>
      </right>
      <top style="medium">
        <color rgb="FFDDDDDD"/>
      </top>
      <bottom/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ck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thick">
        <color rgb="FFCCCCCC"/>
      </right>
      <top style="medium">
        <color rgb="FFCCCCCC"/>
      </top>
      <bottom style="medium">
        <color rgb="FFDDDDDD"/>
      </bottom>
      <diagonal/>
    </border>
    <border>
      <left style="thick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/>
      <right style="thick">
        <color rgb="FFCCCCCC"/>
      </right>
      <top style="medium">
        <color rgb="FFDDDDDD"/>
      </top>
      <bottom/>
      <diagonal/>
    </border>
    <border>
      <left/>
      <right style="thick">
        <color rgb="FFCCCCCC"/>
      </right>
      <top/>
      <bottom style="medium">
        <color rgb="FFDDDDDD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/>
      <diagonal/>
    </border>
    <border>
      <left style="thick">
        <color rgb="FFCCCCCC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44" fontId="0" fillId="0" borderId="0" xfId="1" applyFont="1"/>
    <xf numFmtId="43" fontId="0" fillId="0" borderId="1" xfId="2" applyFont="1" applyBorder="1"/>
    <xf numFmtId="43" fontId="0" fillId="0" borderId="5" xfId="2" applyFont="1" applyBorder="1"/>
    <xf numFmtId="0" fontId="0" fillId="0" borderId="11" xfId="0" applyBorder="1"/>
    <xf numFmtId="44" fontId="0" fillId="0" borderId="1" xfId="1" applyFont="1" applyBorder="1"/>
    <xf numFmtId="0" fontId="0" fillId="0" borderId="17" xfId="0" applyBorder="1"/>
    <xf numFmtId="43" fontId="0" fillId="0" borderId="0" xfId="2" applyFont="1"/>
    <xf numFmtId="0" fontId="0" fillId="0" borderId="1" xfId="0" applyBorder="1" applyAlignment="1">
      <alignment wrapText="1"/>
    </xf>
    <xf numFmtId="43" fontId="0" fillId="0" borderId="0" xfId="0" applyNumberFormat="1"/>
    <xf numFmtId="43" fontId="0" fillId="0" borderId="3" xfId="2" applyFont="1" applyBorder="1"/>
    <xf numFmtId="43" fontId="0" fillId="0" borderId="12" xfId="2" applyFont="1" applyBorder="1"/>
    <xf numFmtId="43" fontId="0" fillId="0" borderId="7" xfId="2" applyFont="1" applyBorder="1"/>
    <xf numFmtId="43" fontId="0" fillId="0" borderId="8" xfId="2" applyFont="1" applyBorder="1"/>
    <xf numFmtId="43" fontId="0" fillId="0" borderId="13" xfId="2" applyFont="1" applyBorder="1"/>
    <xf numFmtId="43" fontId="0" fillId="0" borderId="6" xfId="2" applyFont="1" applyBorder="1"/>
    <xf numFmtId="43" fontId="0" fillId="0" borderId="14" xfId="2" applyFont="1" applyBorder="1"/>
    <xf numFmtId="0" fontId="0" fillId="0" borderId="20" xfId="0" applyBorder="1"/>
    <xf numFmtId="43" fontId="0" fillId="0" borderId="21" xfId="2" applyFont="1" applyBorder="1"/>
    <xf numFmtId="43" fontId="0" fillId="0" borderId="2" xfId="2" applyFont="1" applyBorder="1"/>
    <xf numFmtId="43" fontId="0" fillId="0" borderId="4" xfId="2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" xfId="0" applyFill="1" applyBorder="1" applyAlignment="1">
      <alignment wrapText="1"/>
    </xf>
    <xf numFmtId="43" fontId="5" fillId="0" borderId="1" xfId="2" applyFont="1" applyBorder="1"/>
    <xf numFmtId="44" fontId="0" fillId="0" borderId="5" xfId="1" applyFont="1" applyBorder="1"/>
    <xf numFmtId="0" fontId="0" fillId="0" borderId="0" xfId="0" applyAlignment="1">
      <alignment horizontal="center" wrapText="1"/>
    </xf>
    <xf numFmtId="164" fontId="0" fillId="0" borderId="1" xfId="1" applyNumberFormat="1" applyFont="1" applyBorder="1" applyAlignment="1">
      <alignment horizontal="left" vertical="center"/>
    </xf>
    <xf numFmtId="164" fontId="0" fillId="0" borderId="5" xfId="1" applyNumberFormat="1" applyFont="1" applyBorder="1" applyAlignment="1">
      <alignment horizontal="left" vertical="center"/>
    </xf>
    <xf numFmtId="44" fontId="0" fillId="0" borderId="2" xfId="1" applyFont="1" applyBorder="1"/>
    <xf numFmtId="44" fontId="0" fillId="0" borderId="4" xfId="1" applyFont="1" applyBorder="1"/>
    <xf numFmtId="0" fontId="2" fillId="0" borderId="19" xfId="0" applyFont="1" applyBorder="1" applyAlignment="1">
      <alignment horizontal="center"/>
    </xf>
    <xf numFmtId="0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4" fontId="0" fillId="0" borderId="0" xfId="0" applyNumberFormat="1"/>
    <xf numFmtId="0" fontId="0" fillId="0" borderId="2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21" fontId="7" fillId="2" borderId="31" xfId="0" applyNumberFormat="1" applyFont="1" applyFill="1" applyBorder="1" applyAlignment="1">
      <alignment horizontal="center" vertical="center"/>
    </xf>
    <xf numFmtId="18" fontId="7" fillId="2" borderId="31" xfId="0" applyNumberFormat="1" applyFont="1" applyFill="1" applyBorder="1" applyAlignment="1">
      <alignment horizontal="center" vertical="center"/>
    </xf>
    <xf numFmtId="18" fontId="7" fillId="2" borderId="30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21" fontId="7" fillId="3" borderId="31" xfId="0" applyNumberFormat="1" applyFont="1" applyFill="1" applyBorder="1" applyAlignment="1">
      <alignment horizontal="center" vertical="center"/>
    </xf>
    <xf numFmtId="18" fontId="7" fillId="3" borderId="31" xfId="0" applyNumberFormat="1" applyFont="1" applyFill="1" applyBorder="1" applyAlignment="1">
      <alignment horizontal="center" vertical="center"/>
    </xf>
    <xf numFmtId="18" fontId="7" fillId="3" borderId="30" xfId="0" applyNumberFormat="1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right" vertical="center" wrapText="1"/>
    </xf>
    <xf numFmtId="0" fontId="7" fillId="2" borderId="38" xfId="0" applyFont="1" applyFill="1" applyBorder="1" applyAlignment="1">
      <alignment horizontal="right" vertical="center" wrapText="1"/>
    </xf>
    <xf numFmtId="0" fontId="6" fillId="3" borderId="39" xfId="0" applyFont="1" applyFill="1" applyBorder="1" applyAlignment="1">
      <alignment horizontal="right" vertical="center" wrapText="1"/>
    </xf>
    <xf numFmtId="0" fontId="7" fillId="3" borderId="38" xfId="0" applyFont="1" applyFill="1" applyBorder="1" applyAlignment="1">
      <alignment horizontal="right" vertical="center" wrapText="1"/>
    </xf>
    <xf numFmtId="0" fontId="6" fillId="2" borderId="40" xfId="0" applyFont="1" applyFill="1" applyBorder="1" applyAlignment="1">
      <alignment horizontal="right" vertical="center" wrapText="1"/>
    </xf>
    <xf numFmtId="0" fontId="7" fillId="2" borderId="40" xfId="0" applyFont="1" applyFill="1" applyBorder="1" applyAlignment="1">
      <alignment horizontal="center" vertical="center"/>
    </xf>
    <xf numFmtId="21" fontId="7" fillId="2" borderId="41" xfId="0" applyNumberFormat="1" applyFont="1" applyFill="1" applyBorder="1" applyAlignment="1">
      <alignment horizontal="center" vertical="center"/>
    </xf>
    <xf numFmtId="18" fontId="7" fillId="2" borderId="41" xfId="0" applyNumberFormat="1" applyFont="1" applyFill="1" applyBorder="1" applyAlignment="1">
      <alignment horizontal="center" vertical="center"/>
    </xf>
    <xf numFmtId="18" fontId="7" fillId="2" borderId="40" xfId="0" applyNumberFormat="1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right" vertical="center" wrapText="1"/>
    </xf>
    <xf numFmtId="165" fontId="7" fillId="2" borderId="31" xfId="0" applyNumberFormat="1" applyFont="1" applyFill="1" applyBorder="1" applyAlignment="1">
      <alignment horizontal="center" vertical="center"/>
    </xf>
    <xf numFmtId="165" fontId="7" fillId="3" borderId="31" xfId="0" applyNumberFormat="1" applyFont="1" applyFill="1" applyBorder="1" applyAlignment="1">
      <alignment horizontal="center" vertical="center"/>
    </xf>
    <xf numFmtId="0" fontId="0" fillId="0" borderId="50" xfId="0" applyBorder="1"/>
    <xf numFmtId="0" fontId="0" fillId="0" borderId="51" xfId="0" applyBorder="1"/>
    <xf numFmtId="21" fontId="0" fillId="0" borderId="51" xfId="0" applyNumberFormat="1" applyBorder="1"/>
    <xf numFmtId="0" fontId="6" fillId="2" borderId="52" xfId="0" applyFont="1" applyFill="1" applyBorder="1" applyAlignment="1">
      <alignment horizontal="right" vertical="center" wrapText="1"/>
    </xf>
    <xf numFmtId="0" fontId="7" fillId="2" borderId="52" xfId="0" applyFont="1" applyFill="1" applyBorder="1" applyAlignment="1">
      <alignment horizontal="center" vertical="center"/>
    </xf>
    <xf numFmtId="21" fontId="7" fillId="2" borderId="53" xfId="0" applyNumberFormat="1" applyFont="1" applyFill="1" applyBorder="1" applyAlignment="1">
      <alignment horizontal="center" vertical="center"/>
    </xf>
    <xf numFmtId="18" fontId="7" fillId="2" borderId="53" xfId="0" applyNumberFormat="1" applyFont="1" applyFill="1" applyBorder="1" applyAlignment="1">
      <alignment horizontal="center" vertical="center"/>
    </xf>
    <xf numFmtId="18" fontId="7" fillId="2" borderId="52" xfId="0" applyNumberFormat="1" applyFont="1" applyFill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right" vertical="center" wrapText="1"/>
    </xf>
    <xf numFmtId="0" fontId="6" fillId="2" borderId="34" xfId="0" applyFont="1" applyFill="1" applyBorder="1" applyAlignment="1">
      <alignment horizontal="right" vertical="center" wrapText="1"/>
    </xf>
    <xf numFmtId="0" fontId="0" fillId="0" borderId="55" xfId="0" applyBorder="1"/>
    <xf numFmtId="21" fontId="0" fillId="0" borderId="55" xfId="0" applyNumberFormat="1" applyBorder="1"/>
    <xf numFmtId="0" fontId="0" fillId="0" borderId="56" xfId="0" applyBorder="1"/>
    <xf numFmtId="0" fontId="0" fillId="0" borderId="57" xfId="0" applyBorder="1"/>
    <xf numFmtId="21" fontId="0" fillId="0" borderId="57" xfId="0" applyNumberFormat="1" applyBorder="1"/>
    <xf numFmtId="21" fontId="0" fillId="0" borderId="0" xfId="0" applyNumberFormat="1" applyBorder="1"/>
    <xf numFmtId="0" fontId="0" fillId="0" borderId="0" xfId="0" applyNumberFormat="1"/>
    <xf numFmtId="0" fontId="6" fillId="3" borderId="2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/>
    <xf numFmtId="165" fontId="0" fillId="0" borderId="0" xfId="0" applyNumberFormat="1" applyBorder="1"/>
    <xf numFmtId="0" fontId="6" fillId="2" borderId="33" xfId="0" applyFont="1" applyFill="1" applyBorder="1" applyAlignment="1">
      <alignment horizontal="left" vertical="center" wrapText="1"/>
    </xf>
    <xf numFmtId="0" fontId="6" fillId="3" borderId="28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right" vertical="center" wrapText="1"/>
    </xf>
    <xf numFmtId="43" fontId="0" fillId="5" borderId="1" xfId="2" applyFont="1" applyFill="1" applyBorder="1"/>
    <xf numFmtId="43" fontId="0" fillId="5" borderId="5" xfId="2" applyFont="1" applyFill="1" applyBorder="1"/>
    <xf numFmtId="43" fontId="0" fillId="6" borderId="1" xfId="2" applyFont="1" applyFill="1" applyBorder="1"/>
    <xf numFmtId="43" fontId="0" fillId="6" borderId="5" xfId="2" applyFont="1" applyFill="1" applyBorder="1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9" fontId="0" fillId="0" borderId="0" xfId="3" applyFont="1"/>
    <xf numFmtId="166" fontId="0" fillId="0" borderId="0" xfId="3" applyNumberFormat="1" applyFont="1"/>
    <xf numFmtId="0" fontId="0" fillId="0" borderId="0" xfId="0" applyAlignment="1">
      <alignment wrapText="1"/>
    </xf>
    <xf numFmtId="10" fontId="0" fillId="0" borderId="0" xfId="3" applyNumberFormat="1" applyFont="1"/>
    <xf numFmtId="167" fontId="0" fillId="0" borderId="0" xfId="3" applyNumberFormat="1" applyFont="1"/>
    <xf numFmtId="43" fontId="0" fillId="0" borderId="1" xfId="0" applyNumberFormat="1" applyBorder="1"/>
    <xf numFmtId="165" fontId="0" fillId="0" borderId="1" xfId="0" applyNumberFormat="1" applyBorder="1"/>
    <xf numFmtId="0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horizontal="center" vertical="center" wrapText="1"/>
    </xf>
    <xf numFmtId="21" fontId="0" fillId="0" borderId="3" xfId="0" applyNumberFormat="1" applyBorder="1"/>
    <xf numFmtId="43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 applyAlignment="1">
      <alignment horizontal="center" vertical="center" wrapText="1"/>
    </xf>
    <xf numFmtId="44" fontId="0" fillId="0" borderId="1" xfId="0" applyNumberFormat="1" applyBorder="1"/>
    <xf numFmtId="43" fontId="0" fillId="0" borderId="2" xfId="0" applyNumberFormat="1" applyBorder="1"/>
    <xf numFmtId="10" fontId="0" fillId="0" borderId="5" xfId="3" applyNumberFormat="1" applyFon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59" xfId="2" applyFont="1" applyFill="1" applyBorder="1"/>
    <xf numFmtId="0" fontId="0" fillId="0" borderId="0" xfId="3" applyNumberFormat="1" applyFont="1"/>
    <xf numFmtId="2" fontId="0" fillId="0" borderId="0" xfId="0" applyNumberFormat="1"/>
    <xf numFmtId="43" fontId="0" fillId="0" borderId="60" xfId="2" applyFont="1" applyBorder="1"/>
    <xf numFmtId="43" fontId="0" fillId="0" borderId="61" xfId="2" applyFont="1" applyBorder="1"/>
    <xf numFmtId="0" fontId="0" fillId="0" borderId="60" xfId="0" applyFill="1" applyBorder="1" applyAlignment="1">
      <alignment wrapText="1"/>
    </xf>
    <xf numFmtId="2" fontId="0" fillId="0" borderId="0" xfId="0" applyNumberFormat="1" applyFill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6" fillId="2" borderId="43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left" vertical="center" wrapText="1"/>
    </xf>
    <xf numFmtId="0" fontId="6" fillId="3" borderId="36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Full!$E$5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(Full!$E$18,Full!$N$18,Full!$U$18,Full!$AB$18)</c:f>
              <c:numCache>
                <c:formatCode>_("$"* #,##0.00_);_("$"* \(#,##0.00\);_("$"* "-"??_);_(@_)</c:formatCode>
                <c:ptCount val="4"/>
                <c:pt idx="0">
                  <c:v>1054794</c:v>
                </c:pt>
                <c:pt idx="1">
                  <c:v>941332</c:v>
                </c:pt>
                <c:pt idx="2">
                  <c:v>923857</c:v>
                </c:pt>
                <c:pt idx="3">
                  <c:v>997797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F-4684-B4D5-F009507C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808623"/>
        <c:axId val="1235952047"/>
      </c:barChart>
      <c:lineChart>
        <c:grouping val="standard"/>
        <c:varyColors val="0"/>
        <c:ser>
          <c:idx val="0"/>
          <c:order val="0"/>
          <c:tx>
            <c:strRef>
              <c:f>Full!$H$5</c:f>
              <c:strCache>
                <c:ptCount val="1"/>
                <c:pt idx="0">
                  <c:v>Rounds Played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Full!$P$43:$P$46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(Full!$H$18,Full!$Q$18,Full!$X$18,Full!$AE$18)</c:f>
              <c:numCache>
                <c:formatCode>_(* #,##0.00_);_(* \(#,##0.00\);_(* "-"??_);_(@_)</c:formatCode>
                <c:ptCount val="4"/>
                <c:pt idx="0">
                  <c:v>47837</c:v>
                </c:pt>
                <c:pt idx="1">
                  <c:v>51464</c:v>
                </c:pt>
                <c:pt idx="2">
                  <c:v>57038</c:v>
                </c:pt>
                <c:pt idx="3">
                  <c:v>47373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F-4684-B4D5-F009507C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806623"/>
        <c:axId val="1223888335"/>
      </c:lineChart>
      <c:catAx>
        <c:axId val="1469806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8335"/>
        <c:crosses val="autoZero"/>
        <c:auto val="1"/>
        <c:lblAlgn val="ctr"/>
        <c:lblOffset val="100"/>
        <c:noMultiLvlLbl val="0"/>
      </c:catAx>
      <c:valAx>
        <c:axId val="12238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06623"/>
        <c:crosses val="autoZero"/>
        <c:crossBetween val="between"/>
      </c:valAx>
      <c:valAx>
        <c:axId val="1235952047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08623"/>
        <c:crosses val="max"/>
        <c:crossBetween val="between"/>
      </c:valAx>
      <c:catAx>
        <c:axId val="1469808623"/>
        <c:scaling>
          <c:orientation val="minMax"/>
        </c:scaling>
        <c:delete val="1"/>
        <c:axPos val="b"/>
        <c:majorTickMark val="out"/>
        <c:minorTickMark val="none"/>
        <c:tickLblPos val="nextTo"/>
        <c:crossAx val="1235952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OLD!$J$5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OLD!$Q$6:$Q$17</c:f>
              <c:numCache>
                <c:formatCode>_(* #,##0.00_);_(* \(#,##0.00\);_(* "-"??_);_(@_)</c:formatCode>
                <c:ptCount val="12"/>
                <c:pt idx="0">
                  <c:v>1238</c:v>
                </c:pt>
                <c:pt idx="1">
                  <c:v>1518</c:v>
                </c:pt>
                <c:pt idx="2">
                  <c:v>365</c:v>
                </c:pt>
                <c:pt idx="3">
                  <c:v>569</c:v>
                </c:pt>
                <c:pt idx="4">
                  <c:v>627</c:v>
                </c:pt>
                <c:pt idx="5">
                  <c:v>1383</c:v>
                </c:pt>
                <c:pt idx="6">
                  <c:v>2146</c:v>
                </c:pt>
                <c:pt idx="7">
                  <c:v>2156</c:v>
                </c:pt>
                <c:pt idx="8">
                  <c:v>1502</c:v>
                </c:pt>
                <c:pt idx="9">
                  <c:v>1064</c:v>
                </c:pt>
                <c:pt idx="10">
                  <c:v>982</c:v>
                </c:pt>
                <c:pt idx="11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C-4FB4-B1F7-92E0F3A2468E}"/>
            </c:ext>
          </c:extLst>
        </c:ser>
        <c:ser>
          <c:idx val="1"/>
          <c:order val="1"/>
          <c:tx>
            <c:strRef>
              <c:f>OLD!$H$5</c:f>
              <c:strCache>
                <c:ptCount val="1"/>
                <c:pt idx="0">
                  <c:v>Rounds Played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OLD!$O$6:$O$17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1333</c:v>
                </c:pt>
                <c:pt idx="2">
                  <c:v>4445</c:v>
                </c:pt>
                <c:pt idx="3">
                  <c:v>4853</c:v>
                </c:pt>
                <c:pt idx="4">
                  <c:v>5995</c:v>
                </c:pt>
                <c:pt idx="5">
                  <c:v>6157</c:v>
                </c:pt>
                <c:pt idx="6">
                  <c:v>6157</c:v>
                </c:pt>
                <c:pt idx="7">
                  <c:v>9014</c:v>
                </c:pt>
                <c:pt idx="8">
                  <c:v>4718</c:v>
                </c:pt>
                <c:pt idx="9">
                  <c:v>4175</c:v>
                </c:pt>
                <c:pt idx="10">
                  <c:v>3766</c:v>
                </c:pt>
                <c:pt idx="11">
                  <c:v>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C-4FB4-B1F7-92E0F3A2468E}"/>
            </c:ext>
          </c:extLst>
        </c:ser>
        <c:ser>
          <c:idx val="2"/>
          <c:order val="2"/>
          <c:tx>
            <c:strRef>
              <c:f>OLD!$I$5</c:f>
              <c:strCache>
                <c:ptCount val="1"/>
                <c:pt idx="0">
                  <c:v>Water Usage 100 Cubic Feet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OLD!$P$6:$P$17</c:f>
              <c:numCache>
                <c:formatCode>_(* #,##0.00_);_(* \(#,##0.00\);_(* "-"??_);_(@_)</c:formatCode>
                <c:ptCount val="12"/>
                <c:pt idx="0">
                  <c:v>305</c:v>
                </c:pt>
                <c:pt idx="1">
                  <c:v>414</c:v>
                </c:pt>
                <c:pt idx="2">
                  <c:v>26</c:v>
                </c:pt>
                <c:pt idx="3">
                  <c:v>74</c:v>
                </c:pt>
                <c:pt idx="4">
                  <c:v>53</c:v>
                </c:pt>
                <c:pt idx="5">
                  <c:v>193</c:v>
                </c:pt>
                <c:pt idx="6">
                  <c:v>316</c:v>
                </c:pt>
                <c:pt idx="7">
                  <c:v>319</c:v>
                </c:pt>
                <c:pt idx="8">
                  <c:v>364</c:v>
                </c:pt>
                <c:pt idx="9">
                  <c:v>233</c:v>
                </c:pt>
                <c:pt idx="10">
                  <c:v>234</c:v>
                </c:pt>
                <c:pt idx="1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C-4FB4-B1F7-92E0F3A24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57344"/>
        <c:axId val="2007684464"/>
      </c:barChart>
      <c:catAx>
        <c:axId val="20426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84464"/>
        <c:crosses val="autoZero"/>
        <c:auto val="1"/>
        <c:lblAlgn val="ctr"/>
        <c:lblOffset val="100"/>
        <c:noMultiLvlLbl val="0"/>
      </c:catAx>
      <c:valAx>
        <c:axId val="2007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OLD!$J$5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OLD!$W$6:$W$17</c:f>
              <c:numCache>
                <c:formatCode>_(* #,##0.00_);_(* \(#,##0.00\);_(* "-"??_);_(@_)</c:formatCode>
                <c:ptCount val="12"/>
                <c:pt idx="0">
                  <c:v>447</c:v>
                </c:pt>
                <c:pt idx="1">
                  <c:v>414</c:v>
                </c:pt>
                <c:pt idx="2">
                  <c:v>423</c:v>
                </c:pt>
                <c:pt idx="3">
                  <c:v>578</c:v>
                </c:pt>
                <c:pt idx="4">
                  <c:v>726</c:v>
                </c:pt>
                <c:pt idx="5">
                  <c:v>1214</c:v>
                </c:pt>
                <c:pt idx="6">
                  <c:v>43410</c:v>
                </c:pt>
                <c:pt idx="7">
                  <c:v>15286</c:v>
                </c:pt>
                <c:pt idx="8">
                  <c:v>51047</c:v>
                </c:pt>
                <c:pt idx="9">
                  <c:v>2451</c:v>
                </c:pt>
                <c:pt idx="10">
                  <c:v>2159</c:v>
                </c:pt>
                <c:pt idx="11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E4B-97B0-3ED7BE996DC0}"/>
            </c:ext>
          </c:extLst>
        </c:ser>
        <c:ser>
          <c:idx val="1"/>
          <c:order val="1"/>
          <c:tx>
            <c:strRef>
              <c:f>OLD!$H$5</c:f>
              <c:strCache>
                <c:ptCount val="1"/>
                <c:pt idx="0">
                  <c:v>Rounds Played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OLD!$U$6:$U$17</c:f>
              <c:numCache>
                <c:formatCode>_(* #,##0.00_);_(* \(#,##0.00\);_(* "-"??_);_(@_)</c:formatCode>
                <c:ptCount val="12"/>
                <c:pt idx="0">
                  <c:v>1339</c:v>
                </c:pt>
                <c:pt idx="1">
                  <c:v>2059</c:v>
                </c:pt>
                <c:pt idx="2">
                  <c:v>2678</c:v>
                </c:pt>
                <c:pt idx="3">
                  <c:v>5531</c:v>
                </c:pt>
                <c:pt idx="4">
                  <c:v>6873</c:v>
                </c:pt>
                <c:pt idx="5">
                  <c:v>7420</c:v>
                </c:pt>
                <c:pt idx="6">
                  <c:v>7028</c:v>
                </c:pt>
                <c:pt idx="7">
                  <c:v>9241</c:v>
                </c:pt>
                <c:pt idx="8">
                  <c:v>6115</c:v>
                </c:pt>
                <c:pt idx="9">
                  <c:v>4956</c:v>
                </c:pt>
                <c:pt idx="10">
                  <c:v>3500</c:v>
                </c:pt>
                <c:pt idx="1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5-4E4B-97B0-3ED7BE996DC0}"/>
            </c:ext>
          </c:extLst>
        </c:ser>
        <c:ser>
          <c:idx val="2"/>
          <c:order val="2"/>
          <c:tx>
            <c:strRef>
              <c:f>OLD!$I$5</c:f>
              <c:strCache>
                <c:ptCount val="1"/>
                <c:pt idx="0">
                  <c:v>Water Usage 100 Cubic Feet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OLD!$V$6:$V$17</c:f>
              <c:numCache>
                <c:formatCode>_(* #,##0.00_);_(* \(#,##0.00\);_(* "-"??_);_(@_)</c:formatCode>
                <c:ptCount val="12"/>
                <c:pt idx="0">
                  <c:v>47</c:v>
                </c:pt>
                <c:pt idx="1">
                  <c:v>32</c:v>
                </c:pt>
                <c:pt idx="2">
                  <c:v>39</c:v>
                </c:pt>
                <c:pt idx="3">
                  <c:v>96</c:v>
                </c:pt>
                <c:pt idx="4">
                  <c:v>123</c:v>
                </c:pt>
                <c:pt idx="5">
                  <c:v>2474</c:v>
                </c:pt>
                <c:pt idx="6">
                  <c:v>48710</c:v>
                </c:pt>
                <c:pt idx="7">
                  <c:v>20826</c:v>
                </c:pt>
                <c:pt idx="8">
                  <c:v>102344</c:v>
                </c:pt>
                <c:pt idx="9">
                  <c:v>8111</c:v>
                </c:pt>
                <c:pt idx="10">
                  <c:v>656</c:v>
                </c:pt>
                <c:pt idx="1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5-4E4B-97B0-3ED7BE99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57344"/>
        <c:axId val="2007684464"/>
      </c:barChart>
      <c:catAx>
        <c:axId val="20426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84464"/>
        <c:crosses val="autoZero"/>
        <c:auto val="1"/>
        <c:lblAlgn val="ctr"/>
        <c:lblOffset val="100"/>
        <c:noMultiLvlLbl val="0"/>
      </c:catAx>
      <c:valAx>
        <c:axId val="2007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OLD!$J$5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OLD!$AC$6:$AC$17</c:f>
              <c:numCache>
                <c:formatCode>_(* #,##0.00_);_(* \(#,##0.00\);_(* "-"??_);_(@_)</c:formatCode>
                <c:ptCount val="12"/>
                <c:pt idx="0">
                  <c:v>1069</c:v>
                </c:pt>
                <c:pt idx="1">
                  <c:v>1332</c:v>
                </c:pt>
                <c:pt idx="2">
                  <c:v>1201</c:v>
                </c:pt>
                <c:pt idx="3">
                  <c:v>1570</c:v>
                </c:pt>
                <c:pt idx="4">
                  <c:v>1537</c:v>
                </c:pt>
                <c:pt idx="5">
                  <c:v>2252</c:v>
                </c:pt>
                <c:pt idx="6">
                  <c:v>2434</c:v>
                </c:pt>
                <c:pt idx="7">
                  <c:v>12643</c:v>
                </c:pt>
                <c:pt idx="8">
                  <c:v>11748</c:v>
                </c:pt>
                <c:pt idx="9">
                  <c:v>4013</c:v>
                </c:pt>
                <c:pt idx="10">
                  <c:v>3453</c:v>
                </c:pt>
                <c:pt idx="11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0-421D-BA80-BCAE02C37E00}"/>
            </c:ext>
          </c:extLst>
        </c:ser>
        <c:ser>
          <c:idx val="1"/>
          <c:order val="1"/>
          <c:tx>
            <c:strRef>
              <c:f>OLD!$H$5</c:f>
              <c:strCache>
                <c:ptCount val="1"/>
                <c:pt idx="0">
                  <c:v>Rounds Played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OLD!$AA$6:$AA$17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589</c:v>
                </c:pt>
                <c:pt idx="2">
                  <c:v>3362</c:v>
                </c:pt>
                <c:pt idx="3">
                  <c:v>3972</c:v>
                </c:pt>
                <c:pt idx="4">
                  <c:v>5519</c:v>
                </c:pt>
                <c:pt idx="5">
                  <c:v>6963</c:v>
                </c:pt>
                <c:pt idx="6">
                  <c:v>6765</c:v>
                </c:pt>
                <c:pt idx="7">
                  <c:v>7958</c:v>
                </c:pt>
                <c:pt idx="8">
                  <c:v>5338</c:v>
                </c:pt>
                <c:pt idx="9">
                  <c:v>3829</c:v>
                </c:pt>
                <c:pt idx="10">
                  <c:v>2570</c:v>
                </c:pt>
                <c:pt idx="11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0-421D-BA80-BCAE02C37E00}"/>
            </c:ext>
          </c:extLst>
        </c:ser>
        <c:ser>
          <c:idx val="2"/>
          <c:order val="2"/>
          <c:tx>
            <c:strRef>
              <c:f>OLD!$I$5</c:f>
              <c:strCache>
                <c:ptCount val="1"/>
                <c:pt idx="0">
                  <c:v>Water Usage 100 Cubic Feet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OLD!$AB$6:$AB$17</c:f>
              <c:numCache>
                <c:formatCode>_(* #,##0.00_);_(* \(#,##0.00\);_(* "-"??_);_(@_)</c:formatCode>
                <c:ptCount val="12"/>
                <c:pt idx="0">
                  <c:v>110</c:v>
                </c:pt>
                <c:pt idx="1">
                  <c:v>144</c:v>
                </c:pt>
                <c:pt idx="2">
                  <c:v>133</c:v>
                </c:pt>
                <c:pt idx="3">
                  <c:v>260</c:v>
                </c:pt>
                <c:pt idx="4">
                  <c:v>264</c:v>
                </c:pt>
                <c:pt idx="5">
                  <c:v>5095</c:v>
                </c:pt>
                <c:pt idx="6">
                  <c:v>19534</c:v>
                </c:pt>
                <c:pt idx="7">
                  <c:v>30339</c:v>
                </c:pt>
                <c:pt idx="8">
                  <c:v>27728</c:v>
                </c:pt>
                <c:pt idx="9">
                  <c:v>6487</c:v>
                </c:pt>
                <c:pt idx="10">
                  <c:v>4483</c:v>
                </c:pt>
                <c:pt idx="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0-421D-BA80-BCAE02C37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57344"/>
        <c:axId val="2007684464"/>
      </c:barChart>
      <c:catAx>
        <c:axId val="20426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84464"/>
        <c:crosses val="autoZero"/>
        <c:auto val="1"/>
        <c:lblAlgn val="ctr"/>
        <c:lblOffset val="100"/>
        <c:noMultiLvlLbl val="0"/>
      </c:catAx>
      <c:valAx>
        <c:axId val="2007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Full!$E$4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Full!$D$6:$D$17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Full!$H$6:$H$17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1529</c:v>
                </c:pt>
                <c:pt idx="2">
                  <c:v>4066</c:v>
                </c:pt>
                <c:pt idx="3">
                  <c:v>5447</c:v>
                </c:pt>
                <c:pt idx="4">
                  <c:v>6018</c:v>
                </c:pt>
                <c:pt idx="5">
                  <c:v>6445</c:v>
                </c:pt>
                <c:pt idx="6">
                  <c:v>6042</c:v>
                </c:pt>
                <c:pt idx="7">
                  <c:v>5939</c:v>
                </c:pt>
                <c:pt idx="8">
                  <c:v>4839</c:v>
                </c:pt>
                <c:pt idx="9">
                  <c:v>3598</c:v>
                </c:pt>
                <c:pt idx="10">
                  <c:v>3598</c:v>
                </c:pt>
                <c:pt idx="1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0-40EB-A311-A6B180F43120}"/>
            </c:ext>
          </c:extLst>
        </c:ser>
        <c:ser>
          <c:idx val="1"/>
          <c:order val="1"/>
          <c:tx>
            <c:strRef>
              <c:f>Full!$N$4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Full!$D$6:$D$17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Full!$Q$6:$Q$17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1333</c:v>
                </c:pt>
                <c:pt idx="2">
                  <c:v>4445</c:v>
                </c:pt>
                <c:pt idx="3">
                  <c:v>4853</c:v>
                </c:pt>
                <c:pt idx="4">
                  <c:v>5995</c:v>
                </c:pt>
                <c:pt idx="5">
                  <c:v>6157</c:v>
                </c:pt>
                <c:pt idx="6">
                  <c:v>6157</c:v>
                </c:pt>
                <c:pt idx="7">
                  <c:v>9014</c:v>
                </c:pt>
                <c:pt idx="8">
                  <c:v>4718</c:v>
                </c:pt>
                <c:pt idx="9">
                  <c:v>4175</c:v>
                </c:pt>
                <c:pt idx="10">
                  <c:v>3766</c:v>
                </c:pt>
                <c:pt idx="11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0-40EB-A311-A6B180F43120}"/>
            </c:ext>
          </c:extLst>
        </c:ser>
        <c:ser>
          <c:idx val="2"/>
          <c:order val="2"/>
          <c:tx>
            <c:strRef>
              <c:f>Full!$U$4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Full!$D$6:$D$17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Full!$X$6:$X$17</c:f>
              <c:numCache>
                <c:formatCode>_(* #,##0.00_);_(* \(#,##0.00\);_(* "-"??_);_(@_)</c:formatCode>
                <c:ptCount val="12"/>
                <c:pt idx="0">
                  <c:v>1339</c:v>
                </c:pt>
                <c:pt idx="1">
                  <c:v>2059</c:v>
                </c:pt>
                <c:pt idx="2">
                  <c:v>2678</c:v>
                </c:pt>
                <c:pt idx="3">
                  <c:v>5531</c:v>
                </c:pt>
                <c:pt idx="4">
                  <c:v>6873</c:v>
                </c:pt>
                <c:pt idx="5">
                  <c:v>7420</c:v>
                </c:pt>
                <c:pt idx="6">
                  <c:v>7028</c:v>
                </c:pt>
                <c:pt idx="7">
                  <c:v>9241</c:v>
                </c:pt>
                <c:pt idx="8">
                  <c:v>6115</c:v>
                </c:pt>
                <c:pt idx="9">
                  <c:v>4956</c:v>
                </c:pt>
                <c:pt idx="10">
                  <c:v>3500</c:v>
                </c:pt>
                <c:pt idx="1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0-40EB-A311-A6B180F43120}"/>
            </c:ext>
          </c:extLst>
        </c:ser>
        <c:ser>
          <c:idx val="3"/>
          <c:order val="3"/>
          <c:tx>
            <c:strRef>
              <c:f>Full!$AB$4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Full!$D$6:$D$17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Full!$AE$6:$AE$17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589</c:v>
                </c:pt>
                <c:pt idx="2">
                  <c:v>3362</c:v>
                </c:pt>
                <c:pt idx="3">
                  <c:v>3972</c:v>
                </c:pt>
                <c:pt idx="4">
                  <c:v>5519</c:v>
                </c:pt>
                <c:pt idx="5">
                  <c:v>6963</c:v>
                </c:pt>
                <c:pt idx="6">
                  <c:v>6765</c:v>
                </c:pt>
                <c:pt idx="7">
                  <c:v>7958</c:v>
                </c:pt>
                <c:pt idx="8">
                  <c:v>5338</c:v>
                </c:pt>
                <c:pt idx="9">
                  <c:v>3829</c:v>
                </c:pt>
                <c:pt idx="10">
                  <c:v>2570</c:v>
                </c:pt>
                <c:pt idx="11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0-40EB-A311-A6B180F43120}"/>
            </c:ext>
          </c:extLst>
        </c:ser>
        <c:ser>
          <c:idx val="4"/>
          <c:order val="4"/>
          <c:tx>
            <c:v>Max Available Rounds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Full!$AH$32:$AH$43</c:f>
              <c:numCache>
                <c:formatCode>General</c:formatCode>
                <c:ptCount val="12"/>
                <c:pt idx="0">
                  <c:v>5679.2</c:v>
                </c:pt>
                <c:pt idx="1">
                  <c:v>5824</c:v>
                </c:pt>
                <c:pt idx="2">
                  <c:v>7440</c:v>
                </c:pt>
                <c:pt idx="3">
                  <c:v>8160</c:v>
                </c:pt>
                <c:pt idx="4">
                  <c:v>9287.6</c:v>
                </c:pt>
                <c:pt idx="5">
                  <c:v>9396</c:v>
                </c:pt>
                <c:pt idx="6">
                  <c:v>9473.6</c:v>
                </c:pt>
                <c:pt idx="7">
                  <c:v>8717.2000000000007</c:v>
                </c:pt>
                <c:pt idx="8">
                  <c:v>7500</c:v>
                </c:pt>
                <c:pt idx="9">
                  <c:v>6745.6</c:v>
                </c:pt>
                <c:pt idx="10">
                  <c:v>5688</c:v>
                </c:pt>
                <c:pt idx="11">
                  <c:v>5431.2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0-40EB-A311-A6B180F4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146784"/>
        <c:axId val="1478274688"/>
      </c:lineChart>
      <c:catAx>
        <c:axId val="14801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74688"/>
        <c:crosses val="autoZero"/>
        <c:auto val="1"/>
        <c:lblAlgn val="ctr"/>
        <c:lblOffset val="100"/>
        <c:noMultiLvlLbl val="0"/>
      </c:catAx>
      <c:valAx>
        <c:axId val="14782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Expense</a:t>
            </a:r>
            <a:r>
              <a:rPr lang="en-US" baseline="0"/>
              <a:t> and Rounds Played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'2016'!$E$4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'2016'!$E$5:$E$16</c:f>
              <c:numCache>
                <c:formatCode>_("$"* #,##0.00_);_("$"* \(#,##0.00\);_("$"* "-"??_);_(@_)</c:formatCode>
                <c:ptCount val="12"/>
                <c:pt idx="0">
                  <c:v>36294</c:v>
                </c:pt>
                <c:pt idx="1">
                  <c:v>70788</c:v>
                </c:pt>
                <c:pt idx="2">
                  <c:v>109501</c:v>
                </c:pt>
                <c:pt idx="3">
                  <c:v>74806</c:v>
                </c:pt>
                <c:pt idx="4">
                  <c:v>102350</c:v>
                </c:pt>
                <c:pt idx="5">
                  <c:v>142772</c:v>
                </c:pt>
                <c:pt idx="6">
                  <c:v>92146</c:v>
                </c:pt>
                <c:pt idx="7">
                  <c:v>98204</c:v>
                </c:pt>
                <c:pt idx="8">
                  <c:v>125522</c:v>
                </c:pt>
                <c:pt idx="9">
                  <c:v>79204</c:v>
                </c:pt>
                <c:pt idx="10">
                  <c:v>74152</c:v>
                </c:pt>
                <c:pt idx="11">
                  <c:v>49055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CFC-86F6-B4BC137A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262463"/>
        <c:axId val="1331014703"/>
      </c:barChart>
      <c:lineChart>
        <c:grouping val="standard"/>
        <c:varyColors val="0"/>
        <c:ser>
          <c:idx val="1"/>
          <c:order val="1"/>
          <c:tx>
            <c:strRef>
              <c:f>'2016'!$L$4</c:f>
              <c:strCache>
                <c:ptCount val="1"/>
                <c:pt idx="0">
                  <c:v>*Rounds Played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'2016'!$D$5:$D$16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'2016'!$L$5:$L$16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1529</c:v>
                </c:pt>
                <c:pt idx="2">
                  <c:v>4066</c:v>
                </c:pt>
                <c:pt idx="3">
                  <c:v>5447</c:v>
                </c:pt>
                <c:pt idx="4">
                  <c:v>6018</c:v>
                </c:pt>
                <c:pt idx="5">
                  <c:v>4326.5355576853299</c:v>
                </c:pt>
                <c:pt idx="6">
                  <c:v>5825.6194734402116</c:v>
                </c:pt>
                <c:pt idx="7">
                  <c:v>4970.9582090906533</c:v>
                </c:pt>
                <c:pt idx="8">
                  <c:v>4839</c:v>
                </c:pt>
                <c:pt idx="9">
                  <c:v>3598</c:v>
                </c:pt>
                <c:pt idx="10">
                  <c:v>3598</c:v>
                </c:pt>
                <c:pt idx="1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A-4CFC-86F6-B4BC137A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809359"/>
        <c:axId val="1331016783"/>
      </c:lineChart>
      <c:catAx>
        <c:axId val="12262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14703"/>
        <c:crosses val="autoZero"/>
        <c:auto val="1"/>
        <c:lblAlgn val="ctr"/>
        <c:lblOffset val="100"/>
        <c:noMultiLvlLbl val="0"/>
      </c:catAx>
      <c:valAx>
        <c:axId val="13310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62463"/>
        <c:crosses val="autoZero"/>
        <c:crossBetween val="between"/>
      </c:valAx>
      <c:valAx>
        <c:axId val="133101678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09359"/>
        <c:crosses val="max"/>
        <c:crossBetween val="between"/>
      </c:valAx>
      <c:catAx>
        <c:axId val="1332809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1016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Temperature and Watering per ac-ft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'2016'!$S$4</c:f>
              <c:strCache>
                <c:ptCount val="1"/>
                <c:pt idx="0">
                  <c:v>Avg High Temp for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'2016'!$S$5:$S$16</c:f>
              <c:numCache>
                <c:formatCode>_(* #,##0.00_);_(* \(#,##0.00\);_(* "-"??_);_(@_)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53</c:v>
                </c:pt>
                <c:pt idx="3">
                  <c:v>61</c:v>
                </c:pt>
                <c:pt idx="4">
                  <c:v>71</c:v>
                </c:pt>
                <c:pt idx="5">
                  <c:v>82</c:v>
                </c:pt>
                <c:pt idx="6">
                  <c:v>90</c:v>
                </c:pt>
                <c:pt idx="7">
                  <c:v>89</c:v>
                </c:pt>
                <c:pt idx="8">
                  <c:v>78</c:v>
                </c:pt>
                <c:pt idx="9">
                  <c:v>65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82-4B74-8461-2D7F56F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262463"/>
        <c:axId val="1331014703"/>
      </c:barChart>
      <c:lineChart>
        <c:grouping val="standard"/>
        <c:varyColors val="0"/>
        <c:ser>
          <c:idx val="1"/>
          <c:order val="1"/>
          <c:tx>
            <c:strRef>
              <c:f>'2016'!$V$4</c:f>
              <c:strCache>
                <c:ptCount val="1"/>
                <c:pt idx="0">
                  <c:v>ac-ft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'2016'!$D$5:$D$16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'2016'!$V$5:$V$16</c:f>
              <c:numCache>
                <c:formatCode>_(* #,##0.00_);_(* \(#,##0.00\);_(* "-"??_);_(@_)</c:formatCode>
                <c:ptCount val="12"/>
                <c:pt idx="0">
                  <c:v>1.6069788797061526E-2</c:v>
                </c:pt>
                <c:pt idx="1">
                  <c:v>1.8365472910927456E-2</c:v>
                </c:pt>
                <c:pt idx="2">
                  <c:v>3.4435261707988982E-2</c:v>
                </c:pt>
                <c:pt idx="3">
                  <c:v>2.0247933884297522</c:v>
                </c:pt>
                <c:pt idx="4">
                  <c:v>4.2171717171717171</c:v>
                </c:pt>
                <c:pt idx="5">
                  <c:v>19.033516988062441</c:v>
                </c:pt>
                <c:pt idx="6">
                  <c:v>21.170798898071624</c:v>
                </c:pt>
                <c:pt idx="7">
                  <c:v>26.868686868686869</c:v>
                </c:pt>
                <c:pt idx="8">
                  <c:v>1.2235996326905418</c:v>
                </c:pt>
                <c:pt idx="9">
                  <c:v>0.71625344352617082</c:v>
                </c:pt>
                <c:pt idx="10">
                  <c:v>0.38108356290174472</c:v>
                </c:pt>
                <c:pt idx="11">
                  <c:v>0.74609733700642789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2-4B74-8461-2D7F56F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51759"/>
        <c:axId val="1235950799"/>
      </c:lineChart>
      <c:catAx>
        <c:axId val="12262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14703"/>
        <c:crosses val="autoZero"/>
        <c:auto val="1"/>
        <c:lblAlgn val="ctr"/>
        <c:lblOffset val="100"/>
        <c:noMultiLvlLbl val="0"/>
      </c:catAx>
      <c:valAx>
        <c:axId val="13310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62463"/>
        <c:crosses val="autoZero"/>
        <c:crossBetween val="between"/>
      </c:valAx>
      <c:valAx>
        <c:axId val="1235950799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51759"/>
        <c:crosses val="max"/>
        <c:crossBetween val="between"/>
      </c:valAx>
      <c:catAx>
        <c:axId val="122615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95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Expense vs Water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'2016'!$E$4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'2016'!$D$5:$D$16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'2016'!$E$5:$E$16</c:f>
              <c:numCache>
                <c:formatCode>_("$"* #,##0.00_);_("$"* \(#,##0.00\);_("$"* "-"??_);_(@_)</c:formatCode>
                <c:ptCount val="12"/>
                <c:pt idx="0">
                  <c:v>36294</c:v>
                </c:pt>
                <c:pt idx="1">
                  <c:v>70788</c:v>
                </c:pt>
                <c:pt idx="2">
                  <c:v>109501</c:v>
                </c:pt>
                <c:pt idx="3">
                  <c:v>74806</c:v>
                </c:pt>
                <c:pt idx="4">
                  <c:v>102350</c:v>
                </c:pt>
                <c:pt idx="5">
                  <c:v>142772</c:v>
                </c:pt>
                <c:pt idx="6">
                  <c:v>92146</c:v>
                </c:pt>
                <c:pt idx="7">
                  <c:v>98204</c:v>
                </c:pt>
                <c:pt idx="8">
                  <c:v>125522</c:v>
                </c:pt>
                <c:pt idx="9">
                  <c:v>79204</c:v>
                </c:pt>
                <c:pt idx="10">
                  <c:v>74152</c:v>
                </c:pt>
                <c:pt idx="11">
                  <c:v>49055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E-4523-BAE4-E4DB2BFAA76A}"/>
            </c:ext>
          </c:extLst>
        </c:ser>
        <c:ser>
          <c:idx val="1"/>
          <c:order val="1"/>
          <c:tx>
            <c:strRef>
              <c:f>'2016'!$R$4</c:f>
              <c:strCache>
                <c:ptCount val="1"/>
                <c:pt idx="0">
                  <c:v>Water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'2016'!$D$5:$D$16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'2016'!$R$5:$R$16</c:f>
              <c:numCache>
                <c:formatCode>_("$"* #,##0.00_);_("$"* \(#,##0.00\);_("$"* "-"??_);_(@_)</c:formatCode>
                <c:ptCount val="12"/>
                <c:pt idx="0">
                  <c:v>445</c:v>
                </c:pt>
                <c:pt idx="1">
                  <c:v>340</c:v>
                </c:pt>
                <c:pt idx="2">
                  <c:v>365</c:v>
                </c:pt>
                <c:pt idx="3">
                  <c:v>2038</c:v>
                </c:pt>
                <c:pt idx="4">
                  <c:v>4284</c:v>
                </c:pt>
                <c:pt idx="5">
                  <c:v>15637</c:v>
                </c:pt>
                <c:pt idx="6">
                  <c:v>28282</c:v>
                </c:pt>
                <c:pt idx="7">
                  <c:v>36558</c:v>
                </c:pt>
                <c:pt idx="8">
                  <c:v>14853</c:v>
                </c:pt>
                <c:pt idx="9">
                  <c:v>7797</c:v>
                </c:pt>
                <c:pt idx="10">
                  <c:v>848</c:v>
                </c:pt>
                <c:pt idx="11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E-4523-BAE4-E4DB2BFA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651711"/>
        <c:axId val="1338648207"/>
      </c:lineChart>
      <c:catAx>
        <c:axId val="13306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48207"/>
        <c:crosses val="autoZero"/>
        <c:auto val="1"/>
        <c:lblAlgn val="ctr"/>
        <c:lblOffset val="100"/>
        <c:noMultiLvlLbl val="0"/>
      </c:catAx>
      <c:valAx>
        <c:axId val="13386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Avalable</a:t>
            </a:r>
            <a:r>
              <a:rPr lang="en-US" baseline="0"/>
              <a:t> Tee Time due to Solar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'2016'!$AA$18:$AA$29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'2016'!$AC$18:$AC$29</c:f>
              <c:numCache>
                <c:formatCode>0.00</c:formatCode>
                <c:ptCount val="12"/>
                <c:pt idx="0">
                  <c:v>7.6333333333333337</c:v>
                </c:pt>
                <c:pt idx="1">
                  <c:v>8.6666666666666661</c:v>
                </c:pt>
                <c:pt idx="2">
                  <c:v>10</c:v>
                </c:pt>
                <c:pt idx="3">
                  <c:v>11.333333333333334</c:v>
                </c:pt>
                <c:pt idx="4">
                  <c:v>12.483333333333333</c:v>
                </c:pt>
                <c:pt idx="5">
                  <c:v>13.05</c:v>
                </c:pt>
                <c:pt idx="6">
                  <c:v>12.733333333333333</c:v>
                </c:pt>
                <c:pt idx="7">
                  <c:v>11.716666666666667</c:v>
                </c:pt>
                <c:pt idx="8">
                  <c:v>10.416666666666666</c:v>
                </c:pt>
                <c:pt idx="9">
                  <c:v>9.0666666666666664</c:v>
                </c:pt>
                <c:pt idx="10">
                  <c:v>7.9</c:v>
                </c:pt>
                <c:pt idx="11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441-8FFE-7DAA72DC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78480"/>
        <c:axId val="1478291328"/>
      </c:barChart>
      <c:catAx>
        <c:axId val="14830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91328"/>
        <c:crosses val="autoZero"/>
        <c:auto val="1"/>
        <c:lblAlgn val="ctr"/>
        <c:lblOffset val="100"/>
        <c:noMultiLvlLbl val="0"/>
      </c:catAx>
      <c:valAx>
        <c:axId val="1478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monthly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Expense and Rounds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'2017'!$E$4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'2017'!$E$5:$E$16</c:f>
              <c:numCache>
                <c:formatCode>_("$"* #,##0.00_);_("$"* \(#,##0.00\);_("$"* "-"??_);_(@_)</c:formatCode>
                <c:ptCount val="12"/>
                <c:pt idx="0">
                  <c:v>40775</c:v>
                </c:pt>
                <c:pt idx="1">
                  <c:v>67377</c:v>
                </c:pt>
                <c:pt idx="2">
                  <c:v>82220</c:v>
                </c:pt>
                <c:pt idx="3">
                  <c:v>69727</c:v>
                </c:pt>
                <c:pt idx="4">
                  <c:v>85865</c:v>
                </c:pt>
                <c:pt idx="5">
                  <c:v>87189</c:v>
                </c:pt>
                <c:pt idx="6">
                  <c:v>93986</c:v>
                </c:pt>
                <c:pt idx="7">
                  <c:v>98184</c:v>
                </c:pt>
                <c:pt idx="8">
                  <c:v>93618</c:v>
                </c:pt>
                <c:pt idx="9">
                  <c:v>90169</c:v>
                </c:pt>
                <c:pt idx="10">
                  <c:v>49225</c:v>
                </c:pt>
                <c:pt idx="11">
                  <c:v>82997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404-96E6-37FD2531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93887"/>
        <c:axId val="1337030239"/>
      </c:barChart>
      <c:lineChart>
        <c:grouping val="standard"/>
        <c:varyColors val="0"/>
        <c:ser>
          <c:idx val="1"/>
          <c:order val="1"/>
          <c:tx>
            <c:strRef>
              <c:f>'2017'!$L$4</c:f>
              <c:strCache>
                <c:ptCount val="1"/>
                <c:pt idx="0">
                  <c:v>*Rounds Played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'2017'!$D$5:$D$16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'2017'!$L$5:$L$16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1333</c:v>
                </c:pt>
                <c:pt idx="2">
                  <c:v>4445</c:v>
                </c:pt>
                <c:pt idx="3">
                  <c:v>4853</c:v>
                </c:pt>
                <c:pt idx="4">
                  <c:v>5995</c:v>
                </c:pt>
                <c:pt idx="5">
                  <c:v>6157</c:v>
                </c:pt>
                <c:pt idx="6">
                  <c:v>6157</c:v>
                </c:pt>
                <c:pt idx="7">
                  <c:v>9014</c:v>
                </c:pt>
                <c:pt idx="8">
                  <c:v>4718</c:v>
                </c:pt>
                <c:pt idx="9">
                  <c:v>4175</c:v>
                </c:pt>
                <c:pt idx="10">
                  <c:v>3766</c:v>
                </c:pt>
                <c:pt idx="11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1-4404-96E6-37FD2531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27727"/>
        <c:axId val="1235949967"/>
      </c:lineChart>
      <c:catAx>
        <c:axId val="12401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30239"/>
        <c:crosses val="autoZero"/>
        <c:auto val="1"/>
        <c:lblAlgn val="ctr"/>
        <c:lblOffset val="100"/>
        <c:noMultiLvlLbl val="0"/>
      </c:catAx>
      <c:valAx>
        <c:axId val="13370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3887"/>
        <c:crosses val="autoZero"/>
        <c:crossBetween val="between"/>
      </c:valAx>
      <c:valAx>
        <c:axId val="1235949967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27727"/>
        <c:crosses val="max"/>
        <c:crossBetween val="between"/>
      </c:valAx>
      <c:catAx>
        <c:axId val="123312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5949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</a:t>
            </a:r>
            <a:r>
              <a:rPr lang="en-US" baseline="0"/>
              <a:t> Expense and Rounds Played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'2017'!$S$4</c:f>
              <c:strCache>
                <c:ptCount val="1"/>
                <c:pt idx="0">
                  <c:v>Avg High Temp for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'2017'!$S$5:$S$16</c:f>
              <c:numCache>
                <c:formatCode>_(* #,##0.00_);_(* \(#,##0.00\);_(* "-"??_);_(@_)</c:formatCode>
                <c:ptCount val="12"/>
                <c:pt idx="0">
                  <c:v>38</c:v>
                </c:pt>
                <c:pt idx="1">
                  <c:v>44</c:v>
                </c:pt>
                <c:pt idx="2">
                  <c:v>53</c:v>
                </c:pt>
                <c:pt idx="3">
                  <c:v>61</c:v>
                </c:pt>
                <c:pt idx="4">
                  <c:v>71</c:v>
                </c:pt>
                <c:pt idx="5">
                  <c:v>82</c:v>
                </c:pt>
                <c:pt idx="6">
                  <c:v>90</c:v>
                </c:pt>
                <c:pt idx="7">
                  <c:v>89</c:v>
                </c:pt>
                <c:pt idx="8">
                  <c:v>78</c:v>
                </c:pt>
                <c:pt idx="9">
                  <c:v>65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2-498E-8D51-0C4D430F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44927"/>
        <c:axId val="1137314943"/>
      </c:barChart>
      <c:lineChart>
        <c:grouping val="standard"/>
        <c:varyColors val="0"/>
        <c:ser>
          <c:idx val="1"/>
          <c:order val="0"/>
          <c:tx>
            <c:strRef>
              <c:f>'2017'!$L$4</c:f>
              <c:strCache>
                <c:ptCount val="1"/>
                <c:pt idx="0">
                  <c:v>*Rounds Played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'2017'!$D$5:$D$16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'2017'!$L$5:$L$16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1333</c:v>
                </c:pt>
                <c:pt idx="2">
                  <c:v>4445</c:v>
                </c:pt>
                <c:pt idx="3">
                  <c:v>4853</c:v>
                </c:pt>
                <c:pt idx="4">
                  <c:v>5995</c:v>
                </c:pt>
                <c:pt idx="5">
                  <c:v>6157</c:v>
                </c:pt>
                <c:pt idx="6">
                  <c:v>6157</c:v>
                </c:pt>
                <c:pt idx="7">
                  <c:v>9014</c:v>
                </c:pt>
                <c:pt idx="8">
                  <c:v>4718</c:v>
                </c:pt>
                <c:pt idx="9">
                  <c:v>4175</c:v>
                </c:pt>
                <c:pt idx="10">
                  <c:v>3766</c:v>
                </c:pt>
                <c:pt idx="11">
                  <c:v>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2-498E-8D51-0C4D430F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93887"/>
        <c:axId val="1337030239"/>
      </c:lineChart>
      <c:catAx>
        <c:axId val="12401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30239"/>
        <c:crosses val="autoZero"/>
        <c:auto val="1"/>
        <c:lblAlgn val="ctr"/>
        <c:lblOffset val="100"/>
        <c:noMultiLvlLbl val="0"/>
      </c:catAx>
      <c:valAx>
        <c:axId val="13370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3887"/>
        <c:crosses val="autoZero"/>
        <c:crossBetween val="between"/>
      </c:valAx>
      <c:valAx>
        <c:axId val="113731494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44927"/>
        <c:crosses val="max"/>
        <c:crossBetween val="between"/>
      </c:valAx>
      <c:catAx>
        <c:axId val="123314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13731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OLD!$J$5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OLD!$D$6:$D$17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OLD!$J$6:$J$17</c:f>
              <c:numCache>
                <c:formatCode>_(* #,##0.00_);_(* \(#,##0.00\);_(* "-"??_);_(@_)</c:formatCode>
                <c:ptCount val="12"/>
                <c:pt idx="0">
                  <c:v>445</c:v>
                </c:pt>
                <c:pt idx="1">
                  <c:v>340</c:v>
                </c:pt>
                <c:pt idx="2">
                  <c:v>365</c:v>
                </c:pt>
                <c:pt idx="3">
                  <c:v>2038</c:v>
                </c:pt>
                <c:pt idx="4">
                  <c:v>4284</c:v>
                </c:pt>
                <c:pt idx="5">
                  <c:v>15637</c:v>
                </c:pt>
                <c:pt idx="6">
                  <c:v>28282</c:v>
                </c:pt>
                <c:pt idx="7">
                  <c:v>36558</c:v>
                </c:pt>
                <c:pt idx="8">
                  <c:v>14853</c:v>
                </c:pt>
                <c:pt idx="9">
                  <c:v>7797</c:v>
                </c:pt>
                <c:pt idx="10">
                  <c:v>848</c:v>
                </c:pt>
                <c:pt idx="11">
                  <c:v>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F-4D84-8230-7432387C50CD}"/>
            </c:ext>
          </c:extLst>
        </c:ser>
        <c:ser>
          <c:idx val="1"/>
          <c:order val="1"/>
          <c:tx>
            <c:strRef>
              <c:f>OLD!$H$5</c:f>
              <c:strCache>
                <c:ptCount val="1"/>
                <c:pt idx="0">
                  <c:v>Rounds Played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OLD!$H$6:$H$17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1529</c:v>
                </c:pt>
                <c:pt idx="2">
                  <c:v>4066</c:v>
                </c:pt>
                <c:pt idx="3">
                  <c:v>5447</c:v>
                </c:pt>
                <c:pt idx="4">
                  <c:v>6018</c:v>
                </c:pt>
                <c:pt idx="5">
                  <c:v>6445</c:v>
                </c:pt>
                <c:pt idx="6">
                  <c:v>6042</c:v>
                </c:pt>
                <c:pt idx="7">
                  <c:v>5939</c:v>
                </c:pt>
                <c:pt idx="8">
                  <c:v>4839</c:v>
                </c:pt>
                <c:pt idx="9">
                  <c:v>3598</c:v>
                </c:pt>
                <c:pt idx="10">
                  <c:v>3598</c:v>
                </c:pt>
                <c:pt idx="1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F-4D84-8230-7432387C50CD}"/>
            </c:ext>
          </c:extLst>
        </c:ser>
        <c:ser>
          <c:idx val="2"/>
          <c:order val="2"/>
          <c:tx>
            <c:strRef>
              <c:f>OLD!$I$5</c:f>
              <c:strCache>
                <c:ptCount val="1"/>
                <c:pt idx="0">
                  <c:v>Water Usage 100 Cubic Feet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OLD!$I$6:$I$17</c:f>
              <c:numCache>
                <c:formatCode>_(* #,##0.00_);_(* \(#,##0.00\);_(* "-"??_);_(@_)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15</c:v>
                </c:pt>
                <c:pt idx="3">
                  <c:v>882</c:v>
                </c:pt>
                <c:pt idx="4">
                  <c:v>1837</c:v>
                </c:pt>
                <c:pt idx="5">
                  <c:v>8291</c:v>
                </c:pt>
                <c:pt idx="6">
                  <c:v>9222</c:v>
                </c:pt>
                <c:pt idx="7">
                  <c:v>11704</c:v>
                </c:pt>
                <c:pt idx="8">
                  <c:v>533</c:v>
                </c:pt>
                <c:pt idx="9">
                  <c:v>312</c:v>
                </c:pt>
                <c:pt idx="10">
                  <c:v>166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F-4D84-8230-7432387C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657344"/>
        <c:axId val="2007684464"/>
      </c:barChart>
      <c:catAx>
        <c:axId val="20426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84464"/>
        <c:crosses val="autoZero"/>
        <c:auto val="1"/>
        <c:lblAlgn val="ctr"/>
        <c:lblOffset val="100"/>
        <c:noMultiLvlLbl val="0"/>
      </c:catAx>
      <c:valAx>
        <c:axId val="20076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6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2016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2016</a:t>
          </a:r>
        </a:p>
      </cx:txPr>
    </cx:title>
    <cx:plotArea>
      <cx:plotAreaRegion>
        <cx:series layoutId="boxWhisker" uniqueId="{9CFE4C45-3207-4C57-A0C6-2F57177D99AA}">
          <cx:tx>
            <cx:txData>
              <cx:f/>
              <cx:v>Expenses</cx:v>
            </cx:txData>
          </cx:tx>
          <cx:dataId val="0"/>
          <cx:layoutPr>
            <cx:statistics quartileMethod="exclusive"/>
          </cx:layoutPr>
        </cx:series>
        <cx:series layoutId="boxWhisker" uniqueId="{5DBA7FC7-52E5-4FF5-855F-A7BFE95DEE6D}">
          <cx:tx>
            <cx:txData>
              <cx:f/>
              <cx:v>Profit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2017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2017</a:t>
          </a:r>
        </a:p>
      </cx:txPr>
    </cx:title>
    <cx:plotArea>
      <cx:plotAreaRegion>
        <cx:series layoutId="boxWhisker" uniqueId="{9CFE4C45-3207-4C57-A0C6-2F57177D99AA}">
          <cx:tx>
            <cx:txData>
              <cx:f/>
              <cx:v>Expenses</cx:v>
            </cx:txData>
          </cx:tx>
          <cx:dataId val="0"/>
          <cx:layoutPr>
            <cx:statistics quartileMethod="exclusive"/>
          </cx:layoutPr>
        </cx:series>
        <cx:series layoutId="boxWhisker" uniqueId="{5DBA7FC7-52E5-4FF5-855F-A7BFE95DEE6D}">
          <cx:tx>
            <cx:txData>
              <cx:f/>
              <cx:v>Profit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2018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2018</a:t>
          </a:r>
        </a:p>
      </cx:txPr>
    </cx:title>
    <cx:plotArea>
      <cx:plotAreaRegion>
        <cx:series layoutId="boxWhisker" uniqueId="{9CFE4C45-3207-4C57-A0C6-2F57177D99AA}">
          <cx:tx>
            <cx:txData>
              <cx:f/>
              <cx:v>Expenses</cx:v>
            </cx:txData>
          </cx:tx>
          <cx:dataId val="0"/>
          <cx:layoutPr>
            <cx:statistics quartileMethod="exclusive"/>
          </cx:layoutPr>
        </cx:series>
        <cx:series layoutId="boxWhisker" uniqueId="{5DBA7FC7-52E5-4FF5-855F-A7BFE95DEE6D}">
          <cx:tx>
            <cx:txData>
              <cx:f/>
              <cx:v>Profit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2.19000006"/>
        <cx:title/>
        <cx:tickLabels/>
      </cx:axis>
      <cx:axis id="1">
        <cx:val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  <cx:data id="1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2019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2019</a:t>
          </a:r>
        </a:p>
      </cx:txPr>
    </cx:title>
    <cx:plotArea>
      <cx:plotAreaRegion>
        <cx:series layoutId="boxWhisker" uniqueId="{9CFE4C45-3207-4C57-A0C6-2F57177D99AA}">
          <cx:tx>
            <cx:txData>
              <cx:f/>
              <cx:v>Expenses</cx:v>
            </cx:txData>
          </cx:tx>
          <cx:dataId val="0"/>
          <cx:layoutPr>
            <cx:statistics quartileMethod="exclusive"/>
          </cx:layoutPr>
        </cx:series>
        <cx:series layoutId="boxWhisker" uniqueId="{5DBA7FC7-52E5-4FF5-855F-A7BFE95DEE6D}">
          <cx:tx>
            <cx:txData>
              <cx:f/>
              <cx:v>Profit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10.xml"/><Relationship Id="rId7" Type="http://schemas.openxmlformats.org/officeDocument/2006/relationships/chart" Target="../charts/chart12.xml"/><Relationship Id="rId2" Type="http://schemas.microsoft.com/office/2014/relationships/chartEx" Target="../charts/chartEx1.xml"/><Relationship Id="rId1" Type="http://schemas.openxmlformats.org/officeDocument/2006/relationships/chart" Target="../charts/chart9.xml"/><Relationship Id="rId6" Type="http://schemas.microsoft.com/office/2014/relationships/chartEx" Target="../charts/chartEx3.xml"/><Relationship Id="rId5" Type="http://schemas.openxmlformats.org/officeDocument/2006/relationships/chart" Target="../charts/chart1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263338</xdr:colOff>
      <xdr:row>23</xdr:row>
      <xdr:rowOff>23532</xdr:rowOff>
    </xdr:from>
    <xdr:to>
      <xdr:col>21</xdr:col>
      <xdr:colOff>599514</xdr:colOff>
      <xdr:row>37</xdr:row>
      <xdr:rowOff>99732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07B6EB-650C-45DF-805F-D3E60F51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61631</xdr:colOff>
      <xdr:row>24</xdr:row>
      <xdr:rowOff>89647</xdr:rowOff>
    </xdr:from>
    <xdr:to>
      <xdr:col>30</xdr:col>
      <xdr:colOff>582705</xdr:colOff>
      <xdr:row>48</xdr:row>
      <xdr:rowOff>122143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21D6-B035-439C-B0AD-181AEC85D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582490</xdr:colOff>
      <xdr:row>18</xdr:row>
      <xdr:rowOff>174382</xdr:rowOff>
    </xdr:from>
    <xdr:to>
      <xdr:col>6</xdr:col>
      <xdr:colOff>120894</xdr:colOff>
      <xdr:row>33</xdr:row>
      <xdr:rowOff>60082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058D9-D0F7-42E6-A1ED-E7D19ADAD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662609</xdr:colOff>
      <xdr:row>35</xdr:row>
      <xdr:rowOff>33131</xdr:rowOff>
    </xdr:from>
    <xdr:to>
      <xdr:col>24</xdr:col>
      <xdr:colOff>636487</xdr:colOff>
      <xdr:row>49</xdr:row>
      <xdr:rowOff>109331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70909-90B7-4B29-A81B-6F1DE17D3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698446</xdr:colOff>
      <xdr:row>19</xdr:row>
      <xdr:rowOff>156223</xdr:rowOff>
    </xdr:from>
    <xdr:to>
      <xdr:col>24</xdr:col>
      <xdr:colOff>691438</xdr:colOff>
      <xdr:row>34</xdr:row>
      <xdr:rowOff>41923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0D41E-003A-4E6D-97B9-2AB3A232E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857249</xdr:colOff>
      <xdr:row>21</xdr:row>
      <xdr:rowOff>135591</xdr:rowOff>
    </xdr:from>
    <xdr:to>
      <xdr:col>19</xdr:col>
      <xdr:colOff>397808</xdr:colOff>
      <xdr:row>36</xdr:row>
      <xdr:rowOff>10085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69FDF-E735-4F50-8134-A7B173822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1057275</xdr:colOff>
      <xdr:row>23</xdr:row>
      <xdr:rowOff>52387</xdr:rowOff>
    </xdr:from>
    <xdr:to>
      <xdr:col>9</xdr:col>
      <xdr:colOff>209550</xdr:colOff>
      <xdr:row>36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495F16-E4E2-4D65-BFAB-DD55CA23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16</xdr:col>
      <xdr:colOff>285750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F4F0F7-A9A7-4715-9E1C-3E5730D3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306771</xdr:colOff>
      <xdr:row>21</xdr:row>
      <xdr:rowOff>111015</xdr:rowOff>
    </xdr:from>
    <xdr:to>
      <xdr:col>7</xdr:col>
      <xdr:colOff>668065</xdr:colOff>
      <xdr:row>35</xdr:row>
      <xdr:rowOff>187215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CF841-96F8-4703-96C9-4083BBEF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292397</xdr:colOff>
      <xdr:row>39</xdr:row>
      <xdr:rowOff>765</xdr:rowOff>
    </xdr:from>
    <xdr:to>
      <xdr:col>7</xdr:col>
      <xdr:colOff>683788</xdr:colOff>
      <xdr:row>53</xdr:row>
      <xdr:rowOff>65759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DB3E956-C557-429A-9190-EEA6EDDDDC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1597" y="8011290"/>
              <a:ext cx="4925291" cy="2731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329045</xdr:colOff>
      <xdr:row>26</xdr:row>
      <xdr:rowOff>1</xdr:rowOff>
    </xdr:from>
    <xdr:to>
      <xdr:col>16</xdr:col>
      <xdr:colOff>638384</xdr:colOff>
      <xdr:row>40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4DCD87-5293-4DB3-B340-21502762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348288</xdr:colOff>
      <xdr:row>42</xdr:row>
      <xdr:rowOff>57839</xdr:rowOff>
    </xdr:from>
    <xdr:to>
      <xdr:col>16</xdr:col>
      <xdr:colOff>687724</xdr:colOff>
      <xdr:row>56</xdr:row>
      <xdr:rowOff>134039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7466247-BEFC-4D35-BC2E-469188CCEB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3288" y="8639864"/>
              <a:ext cx="51019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117763</xdr:colOff>
      <xdr:row>26</xdr:row>
      <xdr:rowOff>83128</xdr:rowOff>
    </xdr:from>
    <xdr:to>
      <xdr:col>23</xdr:col>
      <xdr:colOff>357830</xdr:colOff>
      <xdr:row>40</xdr:row>
      <xdr:rowOff>159328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824F71-9F5F-48F9-8D52-5075777A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137006</xdr:colOff>
      <xdr:row>42</xdr:row>
      <xdr:rowOff>140966</xdr:rowOff>
    </xdr:from>
    <xdr:to>
      <xdr:col>23</xdr:col>
      <xdr:colOff>407170</xdr:colOff>
      <xdr:row>57</xdr:row>
      <xdr:rowOff>26666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820E4EE-0A70-4876-9445-FB107B85EF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77081" y="8722991"/>
              <a:ext cx="49183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304800</xdr:colOff>
      <xdr:row>25</xdr:row>
      <xdr:rowOff>23635</xdr:rowOff>
    </xdr:from>
    <xdr:to>
      <xdr:col>30</xdr:col>
      <xdr:colOff>527548</xdr:colOff>
      <xdr:row>39</xdr:row>
      <xdr:rowOff>99835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CC12D5-B50F-4A1C-8145-42DA4600A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324043</xdr:colOff>
      <xdr:row>41</xdr:row>
      <xdr:rowOff>137503</xdr:rowOff>
    </xdr:from>
    <xdr:to>
      <xdr:col>30</xdr:col>
      <xdr:colOff>576888</xdr:colOff>
      <xdr:row>56</xdr:row>
      <xdr:rowOff>23203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C10F457-3036-422C-BCE7-427D91CF76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36318" y="8529028"/>
              <a:ext cx="461529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0AE2-6759-4D8D-9EA6-D30FB2EA7108}">
  <dimension ref="D2:AJ97"/>
  <sheetViews>
    <sheetView topLeftCell="I1" zoomScale="85" zoomScaleNormal="85" workbookViewId="0">
      <selection activeCell="S58" sqref="S58"/>
    </sheetView>
  </sheetViews>
  <sheetFormatPr defaultRowHeight="15" x14ac:dyDescent="0.25"/>
  <cols>
    <col min="4" max="4" width="11" bestFit="1" customWidth="1"/>
    <col min="5" max="5" width="14.42578125" bestFit="1" customWidth="1"/>
    <col min="6" max="6" width="13.42578125" bestFit="1" customWidth="1"/>
    <col min="7" max="7" width="16" style="7" bestFit="1" customWidth="1"/>
    <col min="8" max="8" width="14.7109375" bestFit="1" customWidth="1"/>
    <col min="9" max="9" width="20.28515625" customWidth="1"/>
    <col min="10" max="10" width="13.28515625" bestFit="1" customWidth="1"/>
    <col min="11" max="11" width="12.5703125" bestFit="1" customWidth="1"/>
    <col min="12" max="12" width="14.28515625" bestFit="1" customWidth="1"/>
    <col min="13" max="13" width="17.140625" bestFit="1" customWidth="1"/>
    <col min="14" max="14" width="13.28515625" bestFit="1" customWidth="1"/>
    <col min="15" max="15" width="13.42578125" bestFit="1" customWidth="1"/>
    <col min="16" max="16" width="14.5703125" bestFit="1" customWidth="1"/>
    <col min="17" max="17" width="14.7109375" bestFit="1" customWidth="1"/>
    <col min="18" max="18" width="12.85546875" bestFit="1" customWidth="1"/>
    <col min="19" max="20" width="11.5703125" bestFit="1" customWidth="1"/>
    <col min="21" max="21" width="12.5703125" bestFit="1" customWidth="1"/>
    <col min="22" max="22" width="12.28515625" bestFit="1" customWidth="1"/>
    <col min="23" max="23" width="14.5703125" bestFit="1" customWidth="1"/>
    <col min="24" max="24" width="14.7109375" bestFit="1" customWidth="1"/>
    <col min="25" max="25" width="12.85546875" bestFit="1" customWidth="1"/>
    <col min="26" max="26" width="14.28515625" bestFit="1" customWidth="1"/>
    <col min="27" max="27" width="12.5703125" bestFit="1" customWidth="1"/>
    <col min="28" max="28" width="12.7109375" bestFit="1" customWidth="1"/>
    <col min="29" max="29" width="13.42578125" bestFit="1" customWidth="1"/>
    <col min="30" max="30" width="14.5703125" bestFit="1" customWidth="1"/>
    <col min="31" max="31" width="14.7109375" bestFit="1" customWidth="1"/>
    <col min="32" max="32" width="12.85546875" bestFit="1" customWidth="1"/>
    <col min="33" max="33" width="13.28515625" bestFit="1" customWidth="1"/>
    <col min="34" max="34" width="11.5703125" bestFit="1" customWidth="1"/>
  </cols>
  <sheetData>
    <row r="2" spans="4:36" ht="15.75" thickBot="1" x14ac:dyDescent="0.3"/>
    <row r="3" spans="4:36" ht="24" thickBot="1" x14ac:dyDescent="0.4">
      <c r="D3" s="138" t="s">
        <v>0</v>
      </c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40"/>
      <c r="V3" s="140"/>
      <c r="W3" s="140"/>
      <c r="X3" s="140"/>
      <c r="Y3" s="140"/>
      <c r="Z3" s="140"/>
      <c r="AA3" s="140"/>
      <c r="AB3" s="140"/>
      <c r="AC3" s="140"/>
      <c r="AD3" s="141"/>
    </row>
    <row r="4" spans="4:36" ht="18.75" x14ac:dyDescent="0.3">
      <c r="D4" s="27"/>
      <c r="E4" s="134">
        <v>2016</v>
      </c>
      <c r="F4" s="135"/>
      <c r="G4" s="135"/>
      <c r="H4" s="135"/>
      <c r="I4" s="135"/>
      <c r="J4" s="135"/>
      <c r="K4" s="135"/>
      <c r="L4" s="135"/>
      <c r="M4" s="137"/>
      <c r="N4" s="134">
        <v>2017</v>
      </c>
      <c r="O4" s="135"/>
      <c r="P4" s="135"/>
      <c r="Q4" s="135"/>
      <c r="R4" s="135"/>
      <c r="S4" s="135"/>
      <c r="T4" s="136"/>
      <c r="U4" s="134">
        <v>2018</v>
      </c>
      <c r="V4" s="135"/>
      <c r="W4" s="135"/>
      <c r="X4" s="135"/>
      <c r="Y4" s="135"/>
      <c r="Z4" s="135"/>
      <c r="AA4" s="136"/>
      <c r="AB4" s="134">
        <v>2019</v>
      </c>
      <c r="AC4" s="135"/>
      <c r="AD4" s="135"/>
      <c r="AE4" s="135"/>
      <c r="AF4" s="135"/>
      <c r="AG4" s="135"/>
      <c r="AH4" s="136"/>
    </row>
    <row r="5" spans="4:36" ht="45" x14ac:dyDescent="0.25">
      <c r="D5" s="28"/>
      <c r="E5" s="2" t="s">
        <v>1</v>
      </c>
      <c r="F5" s="1" t="s">
        <v>2</v>
      </c>
      <c r="G5" s="11" t="s">
        <v>3</v>
      </c>
      <c r="H5" s="1" t="s">
        <v>4</v>
      </c>
      <c r="I5" s="14" t="s">
        <v>5</v>
      </c>
      <c r="J5" s="14" t="s">
        <v>1341</v>
      </c>
      <c r="K5" s="1" t="s">
        <v>6</v>
      </c>
      <c r="L5" s="14" t="s">
        <v>7</v>
      </c>
      <c r="M5" s="132" t="s">
        <v>8</v>
      </c>
      <c r="N5" s="2" t="s">
        <v>1</v>
      </c>
      <c r="O5" s="1" t="s">
        <v>2</v>
      </c>
      <c r="P5" s="1" t="s">
        <v>3</v>
      </c>
      <c r="Q5" s="1" t="s">
        <v>4</v>
      </c>
      <c r="R5" s="1" t="s">
        <v>9</v>
      </c>
      <c r="S5" s="14" t="s">
        <v>1341</v>
      </c>
      <c r="T5" s="3" t="s">
        <v>6</v>
      </c>
      <c r="U5" s="2" t="s">
        <v>1</v>
      </c>
      <c r="V5" s="1" t="s">
        <v>2</v>
      </c>
      <c r="W5" s="1" t="s">
        <v>3</v>
      </c>
      <c r="X5" s="1" t="s">
        <v>4</v>
      </c>
      <c r="Y5" s="1" t="s">
        <v>9</v>
      </c>
      <c r="Z5" s="14"/>
      <c r="AA5" s="3" t="s">
        <v>6</v>
      </c>
      <c r="AB5" s="2" t="s">
        <v>1</v>
      </c>
      <c r="AC5" s="1" t="s">
        <v>2</v>
      </c>
      <c r="AD5" s="1" t="s">
        <v>3</v>
      </c>
      <c r="AE5" s="1" t="s">
        <v>4</v>
      </c>
      <c r="AF5" s="1" t="s">
        <v>9</v>
      </c>
      <c r="AG5" s="14"/>
      <c r="AH5" s="3" t="s">
        <v>6</v>
      </c>
      <c r="AI5" s="108" t="s">
        <v>7</v>
      </c>
      <c r="AJ5" s="108" t="s">
        <v>8</v>
      </c>
    </row>
    <row r="6" spans="4:36" x14ac:dyDescent="0.25">
      <c r="D6" s="28" t="s">
        <v>10</v>
      </c>
      <c r="E6" s="36">
        <f>20451+15843</f>
        <v>36294</v>
      </c>
      <c r="F6" s="11">
        <v>-36294</v>
      </c>
      <c r="G6" s="8" t="e">
        <f>E6/H6</f>
        <v>#DIV/0!</v>
      </c>
      <c r="H6" s="8">
        <v>0</v>
      </c>
      <c r="I6" s="8">
        <v>7</v>
      </c>
      <c r="J6" s="8">
        <f>I6*100</f>
        <v>700</v>
      </c>
      <c r="K6" s="8">
        <v>445</v>
      </c>
      <c r="L6" s="31">
        <v>38</v>
      </c>
      <c r="M6" s="130">
        <v>1.45</v>
      </c>
      <c r="N6" s="36">
        <f>15221+25554</f>
        <v>40775</v>
      </c>
      <c r="O6" s="11">
        <v>-40775</v>
      </c>
      <c r="P6" s="8" t="e">
        <f>N6/Q6</f>
        <v>#DIV/0!</v>
      </c>
      <c r="Q6" s="8">
        <v>0</v>
      </c>
      <c r="R6" s="8">
        <v>305</v>
      </c>
      <c r="S6" s="8">
        <f>R6*100</f>
        <v>30500</v>
      </c>
      <c r="T6" s="16">
        <v>1238</v>
      </c>
      <c r="U6" s="36">
        <f>15287+18834</f>
        <v>34121</v>
      </c>
      <c r="V6" s="11">
        <v>-18533</v>
      </c>
      <c r="W6" s="8">
        <f>U6/X6</f>
        <v>25.482449589245707</v>
      </c>
      <c r="X6" s="8">
        <v>1339</v>
      </c>
      <c r="Y6" s="8">
        <v>47</v>
      </c>
      <c r="Z6" s="8">
        <f>Y6*100</f>
        <v>4700</v>
      </c>
      <c r="AA6" s="16">
        <v>447</v>
      </c>
      <c r="AB6" s="36">
        <f>22269+17177</f>
        <v>39446</v>
      </c>
      <c r="AC6" s="11">
        <v>-39306</v>
      </c>
      <c r="AD6" s="8" t="e">
        <f>AB6/AE6</f>
        <v>#DIV/0!</v>
      </c>
      <c r="AE6" s="8">
        <v>0</v>
      </c>
      <c r="AF6" s="8">
        <v>110</v>
      </c>
      <c r="AG6" s="8">
        <f>AF6*100</f>
        <v>11000</v>
      </c>
      <c r="AH6" s="16">
        <v>1069</v>
      </c>
      <c r="AI6">
        <v>38</v>
      </c>
      <c r="AJ6">
        <v>1.45</v>
      </c>
    </row>
    <row r="7" spans="4:36" x14ac:dyDescent="0.25">
      <c r="D7" s="28" t="s">
        <v>11</v>
      </c>
      <c r="E7" s="36">
        <f>31931+38857</f>
        <v>70788</v>
      </c>
      <c r="F7" s="11">
        <v>-47986</v>
      </c>
      <c r="G7" s="8">
        <f>E7/H7</f>
        <v>46.296926095487244</v>
      </c>
      <c r="H7" s="8">
        <v>1529</v>
      </c>
      <c r="I7" s="8">
        <v>8</v>
      </c>
      <c r="J7" s="8">
        <f t="shared" ref="J7:J17" si="0">I7*100</f>
        <v>800</v>
      </c>
      <c r="K7" s="8">
        <v>340</v>
      </c>
      <c r="L7" s="31">
        <v>44</v>
      </c>
      <c r="M7" s="130">
        <v>1.48</v>
      </c>
      <c r="N7" s="36">
        <f>22209+45168</f>
        <v>67377</v>
      </c>
      <c r="O7" s="11">
        <v>-49197</v>
      </c>
      <c r="P7" s="8">
        <f>N7/Q7</f>
        <v>50.545386346586646</v>
      </c>
      <c r="Q7" s="8">
        <v>1333</v>
      </c>
      <c r="R7" s="8">
        <v>414</v>
      </c>
      <c r="S7" s="8">
        <f t="shared" ref="S7:S17" si="1">R7*100</f>
        <v>41400</v>
      </c>
      <c r="T7" s="16">
        <v>1518</v>
      </c>
      <c r="U7" s="36">
        <f>15627+16981</f>
        <v>32608</v>
      </c>
      <c r="V7" s="11">
        <v>-9536</v>
      </c>
      <c r="W7" s="8">
        <f>U7/X7</f>
        <v>15.83681398737251</v>
      </c>
      <c r="X7" s="8">
        <v>2059</v>
      </c>
      <c r="Y7" s="8">
        <v>32</v>
      </c>
      <c r="Z7" s="8">
        <f t="shared" ref="Z7:Z17" si="2">Y7*100</f>
        <v>3200</v>
      </c>
      <c r="AA7" s="16">
        <v>414</v>
      </c>
      <c r="AB7" s="36">
        <f>14058+43955</f>
        <v>58013</v>
      </c>
      <c r="AC7" s="11">
        <v>-51343</v>
      </c>
      <c r="AD7" s="8">
        <f>AB7/AE7</f>
        <v>98.494057724957557</v>
      </c>
      <c r="AE7" s="8">
        <v>589</v>
      </c>
      <c r="AF7" s="8">
        <v>144</v>
      </c>
      <c r="AG7" s="8">
        <f t="shared" ref="AG7:AG17" si="3">AF7*100</f>
        <v>14400</v>
      </c>
      <c r="AH7" s="16">
        <v>1332</v>
      </c>
      <c r="AI7">
        <v>44</v>
      </c>
      <c r="AJ7">
        <v>1.48</v>
      </c>
    </row>
    <row r="8" spans="4:36" x14ac:dyDescent="0.25">
      <c r="D8" s="28" t="s">
        <v>12</v>
      </c>
      <c r="E8" s="36">
        <f>33899+75602</f>
        <v>109501</v>
      </c>
      <c r="F8" s="11">
        <v>-46099</v>
      </c>
      <c r="G8" s="8">
        <f t="shared" ref="G8:G16" si="4">E8/H8</f>
        <v>26.930890309886866</v>
      </c>
      <c r="H8" s="8">
        <v>4066</v>
      </c>
      <c r="I8" s="8">
        <v>15</v>
      </c>
      <c r="J8" s="8">
        <f t="shared" si="0"/>
        <v>1500</v>
      </c>
      <c r="K8" s="8">
        <v>365</v>
      </c>
      <c r="L8" s="31">
        <v>53</v>
      </c>
      <c r="M8" s="130">
        <v>2.2200000000000002</v>
      </c>
      <c r="N8" s="36">
        <f>29965+52255</f>
        <v>82220</v>
      </c>
      <c r="O8" s="11">
        <v>-12480</v>
      </c>
      <c r="P8" s="8">
        <f t="shared" ref="P8:P16" si="5">N8/Q8</f>
        <v>18.497187851518561</v>
      </c>
      <c r="Q8" s="8">
        <v>4445</v>
      </c>
      <c r="R8" s="8">
        <v>26</v>
      </c>
      <c r="S8" s="8">
        <f t="shared" si="1"/>
        <v>2600</v>
      </c>
      <c r="T8" s="16">
        <v>365</v>
      </c>
      <c r="U8" s="36">
        <f>31204+85080</f>
        <v>116284</v>
      </c>
      <c r="V8" s="11">
        <v>-63979</v>
      </c>
      <c r="W8" s="8">
        <f t="shared" ref="W8:W16" si="6">U8/X8</f>
        <v>43.421956684092606</v>
      </c>
      <c r="X8" s="8">
        <v>2678</v>
      </c>
      <c r="Y8" s="8">
        <v>39</v>
      </c>
      <c r="Z8" s="8">
        <f t="shared" si="2"/>
        <v>3900</v>
      </c>
      <c r="AA8" s="16">
        <v>423</v>
      </c>
      <c r="AB8" s="36">
        <f>24273+91836</f>
        <v>116109</v>
      </c>
      <c r="AC8" s="11">
        <v>-60632</v>
      </c>
      <c r="AD8" s="8">
        <f t="shared" ref="AD8:AD16" si="7">AB8/AE8</f>
        <v>34.535693039857229</v>
      </c>
      <c r="AE8" s="8">
        <v>3362</v>
      </c>
      <c r="AF8" s="8">
        <v>133</v>
      </c>
      <c r="AG8" s="8">
        <f t="shared" si="3"/>
        <v>13300</v>
      </c>
      <c r="AH8" s="16">
        <v>1201</v>
      </c>
      <c r="AI8">
        <v>53</v>
      </c>
      <c r="AJ8">
        <v>2.2200000000000002</v>
      </c>
    </row>
    <row r="9" spans="4:36" x14ac:dyDescent="0.25">
      <c r="D9" s="28" t="s">
        <v>13</v>
      </c>
      <c r="E9" s="36">
        <f>44205+30601</f>
        <v>74806</v>
      </c>
      <c r="F9" s="11">
        <v>4539</v>
      </c>
      <c r="G9" s="8">
        <f t="shared" si="4"/>
        <v>13.733431246557739</v>
      </c>
      <c r="H9" s="8">
        <v>5447</v>
      </c>
      <c r="I9" s="8">
        <v>882</v>
      </c>
      <c r="J9" s="8">
        <f t="shared" si="0"/>
        <v>88200</v>
      </c>
      <c r="K9" s="8">
        <v>2038</v>
      </c>
      <c r="L9" s="31">
        <v>61</v>
      </c>
      <c r="M9" s="130">
        <v>2.33</v>
      </c>
      <c r="N9" s="36">
        <f>44181+25546</f>
        <v>69727</v>
      </c>
      <c r="O9" s="11">
        <v>6068</v>
      </c>
      <c r="P9" s="8">
        <f t="shared" si="5"/>
        <v>14.367813723470018</v>
      </c>
      <c r="Q9" s="8">
        <v>4853</v>
      </c>
      <c r="R9" s="8">
        <v>74</v>
      </c>
      <c r="S9" s="8">
        <f t="shared" si="1"/>
        <v>7400</v>
      </c>
      <c r="T9" s="16">
        <v>569</v>
      </c>
      <c r="U9" s="36">
        <f>37681+44638</f>
        <v>82319</v>
      </c>
      <c r="V9" s="11">
        <v>-879</v>
      </c>
      <c r="W9" s="8">
        <f t="shared" si="6"/>
        <v>14.883203760621949</v>
      </c>
      <c r="X9" s="8">
        <v>5531</v>
      </c>
      <c r="Y9" s="8">
        <v>96</v>
      </c>
      <c r="Z9" s="8">
        <f t="shared" si="2"/>
        <v>9600</v>
      </c>
      <c r="AA9" s="16">
        <v>578</v>
      </c>
      <c r="AB9" s="36">
        <f>50713+30972</f>
        <v>81685</v>
      </c>
      <c r="AC9" s="11">
        <v>-12346</v>
      </c>
      <c r="AD9" s="8">
        <f t="shared" si="7"/>
        <v>20.565206445115809</v>
      </c>
      <c r="AE9" s="8">
        <v>3972</v>
      </c>
      <c r="AF9" s="8">
        <v>260</v>
      </c>
      <c r="AG9" s="8">
        <f t="shared" si="3"/>
        <v>26000</v>
      </c>
      <c r="AH9" s="16">
        <v>1570</v>
      </c>
      <c r="AI9">
        <v>61</v>
      </c>
      <c r="AJ9">
        <v>2.33</v>
      </c>
    </row>
    <row r="10" spans="4:36" x14ac:dyDescent="0.25">
      <c r="D10" s="28" t="s">
        <v>14</v>
      </c>
      <c r="E10" s="36">
        <f>73628+28722</f>
        <v>102350</v>
      </c>
      <c r="F10" s="11">
        <v>-12878</v>
      </c>
      <c r="G10" s="8">
        <f t="shared" si="4"/>
        <v>17.007311399135926</v>
      </c>
      <c r="H10" s="8">
        <v>6018</v>
      </c>
      <c r="I10" s="8">
        <v>1837</v>
      </c>
      <c r="J10" s="8">
        <f t="shared" si="0"/>
        <v>183700</v>
      </c>
      <c r="K10" s="8">
        <v>4284</v>
      </c>
      <c r="L10" s="31">
        <v>71</v>
      </c>
      <c r="M10" s="130">
        <v>2.1</v>
      </c>
      <c r="N10" s="36">
        <f>51970+33895</f>
        <v>85865</v>
      </c>
      <c r="O10" s="11">
        <v>-5629</v>
      </c>
      <c r="P10" s="8">
        <f t="shared" si="5"/>
        <v>14.32276897414512</v>
      </c>
      <c r="Q10" s="8">
        <v>5995</v>
      </c>
      <c r="R10" s="8">
        <v>53</v>
      </c>
      <c r="S10" s="8">
        <f t="shared" si="1"/>
        <v>5300</v>
      </c>
      <c r="T10" s="16">
        <v>627</v>
      </c>
      <c r="U10" s="36">
        <f>41610+36905</f>
        <v>78515</v>
      </c>
      <c r="V10" s="11">
        <v>20455</v>
      </c>
      <c r="W10" s="8">
        <f t="shared" si="6"/>
        <v>11.423686890731849</v>
      </c>
      <c r="X10" s="8">
        <v>6873</v>
      </c>
      <c r="Y10" s="8">
        <v>123</v>
      </c>
      <c r="Z10" s="8">
        <f t="shared" si="2"/>
        <v>12300</v>
      </c>
      <c r="AA10" s="16">
        <v>726</v>
      </c>
      <c r="AB10" s="36">
        <f>50608+42543</f>
        <v>93151</v>
      </c>
      <c r="AC10" s="11">
        <v>-10213</v>
      </c>
      <c r="AD10" s="8">
        <f t="shared" si="7"/>
        <v>16.878238811378871</v>
      </c>
      <c r="AE10" s="8">
        <v>5519</v>
      </c>
      <c r="AF10" s="8">
        <v>264</v>
      </c>
      <c r="AG10" s="8">
        <f t="shared" si="3"/>
        <v>26400</v>
      </c>
      <c r="AH10" s="16">
        <v>1537</v>
      </c>
      <c r="AI10">
        <v>71</v>
      </c>
      <c r="AJ10">
        <v>2.1</v>
      </c>
    </row>
    <row r="11" spans="4:36" x14ac:dyDescent="0.25">
      <c r="D11" s="28" t="s">
        <v>15</v>
      </c>
      <c r="E11" s="36">
        <f>96010+46762</f>
        <v>142772</v>
      </c>
      <c r="F11" s="11">
        <v>-46929</v>
      </c>
      <c r="G11" s="8">
        <f t="shared" si="4"/>
        <v>22.152366175329714</v>
      </c>
      <c r="H11" s="8">
        <v>6445</v>
      </c>
      <c r="I11" s="8">
        <v>8291</v>
      </c>
      <c r="J11" s="8">
        <f t="shared" si="0"/>
        <v>829100</v>
      </c>
      <c r="K11" s="8">
        <v>15637</v>
      </c>
      <c r="L11" s="8">
        <v>82</v>
      </c>
      <c r="M11" s="130">
        <v>1.1299999999999999</v>
      </c>
      <c r="N11" s="36">
        <f>53362+33827</f>
        <v>87189</v>
      </c>
      <c r="O11" s="11">
        <v>52223</v>
      </c>
      <c r="P11" s="8">
        <f t="shared" si="5"/>
        <v>14.160955010557089</v>
      </c>
      <c r="Q11" s="8">
        <v>6157</v>
      </c>
      <c r="R11" s="8">
        <v>193</v>
      </c>
      <c r="S11" s="8">
        <f t="shared" si="1"/>
        <v>19300</v>
      </c>
      <c r="T11" s="16">
        <v>1383</v>
      </c>
      <c r="U11" s="36">
        <f>69379+47718</f>
        <v>117097</v>
      </c>
      <c r="V11" s="11">
        <v>10519</v>
      </c>
      <c r="W11" s="8">
        <f t="shared" si="6"/>
        <v>15.781266846361186</v>
      </c>
      <c r="X11" s="8">
        <v>7420</v>
      </c>
      <c r="Y11" s="8">
        <v>2474</v>
      </c>
      <c r="Z11" s="8">
        <f t="shared" si="2"/>
        <v>247400</v>
      </c>
      <c r="AA11" s="16">
        <v>1214</v>
      </c>
      <c r="AB11" s="36">
        <f>46614+45849</f>
        <v>92463</v>
      </c>
      <c r="AC11" s="11">
        <v>46206</v>
      </c>
      <c r="AD11" s="8">
        <f t="shared" si="7"/>
        <v>13.279190004308488</v>
      </c>
      <c r="AE11" s="8">
        <v>6963</v>
      </c>
      <c r="AF11" s="8">
        <v>5095</v>
      </c>
      <c r="AG11" s="8">
        <f t="shared" si="3"/>
        <v>509500</v>
      </c>
      <c r="AH11" s="16">
        <v>2252</v>
      </c>
      <c r="AI11">
        <v>82</v>
      </c>
      <c r="AJ11">
        <v>1.1299999999999999</v>
      </c>
    </row>
    <row r="12" spans="4:36" x14ac:dyDescent="0.25">
      <c r="D12" s="28" t="s">
        <v>16</v>
      </c>
      <c r="E12" s="36">
        <f>51810+40336</f>
        <v>92146</v>
      </c>
      <c r="F12" s="11">
        <v>-3300</v>
      </c>
      <c r="G12" s="8">
        <f t="shared" si="4"/>
        <v>15.250910294604436</v>
      </c>
      <c r="H12" s="8">
        <v>6042</v>
      </c>
      <c r="I12" s="8">
        <v>9222</v>
      </c>
      <c r="J12" s="8">
        <f t="shared" si="0"/>
        <v>922200</v>
      </c>
      <c r="K12" s="8">
        <v>28282</v>
      </c>
      <c r="L12" s="8">
        <v>90</v>
      </c>
      <c r="M12" s="130">
        <v>0.59</v>
      </c>
      <c r="N12" s="36">
        <f>48868+45118</f>
        <v>93986</v>
      </c>
      <c r="O12" s="11">
        <v>-2011</v>
      </c>
      <c r="P12" s="8">
        <f t="shared" si="5"/>
        <v>15.264901737859347</v>
      </c>
      <c r="Q12" s="8">
        <v>6157</v>
      </c>
      <c r="R12" s="8">
        <v>316</v>
      </c>
      <c r="S12" s="8">
        <f t="shared" si="1"/>
        <v>31600</v>
      </c>
      <c r="T12" s="16">
        <v>2146</v>
      </c>
      <c r="U12" s="36">
        <f>79070+42910</f>
        <v>121980</v>
      </c>
      <c r="V12" s="11">
        <v>-21593</v>
      </c>
      <c r="W12" s="8">
        <f t="shared" si="6"/>
        <v>17.356289129197496</v>
      </c>
      <c r="X12" s="8">
        <v>7028</v>
      </c>
      <c r="Y12" s="8">
        <v>48710</v>
      </c>
      <c r="Z12" s="8">
        <f t="shared" si="2"/>
        <v>4871000</v>
      </c>
      <c r="AA12" s="16">
        <v>43410</v>
      </c>
      <c r="AB12" s="36">
        <f>57724+45824</f>
        <v>103548</v>
      </c>
      <c r="AC12" s="11">
        <v>-2796</v>
      </c>
      <c r="AD12" s="8">
        <f t="shared" si="7"/>
        <v>15.306430155210643</v>
      </c>
      <c r="AE12" s="8">
        <v>6765</v>
      </c>
      <c r="AF12" s="8">
        <v>19534</v>
      </c>
      <c r="AG12" s="8">
        <f t="shared" si="3"/>
        <v>1953400</v>
      </c>
      <c r="AH12" s="16">
        <v>2434</v>
      </c>
      <c r="AI12">
        <v>90</v>
      </c>
      <c r="AJ12">
        <v>0.59</v>
      </c>
    </row>
    <row r="13" spans="4:36" x14ac:dyDescent="0.25">
      <c r="D13" s="28" t="s">
        <v>17</v>
      </c>
      <c r="E13" s="36">
        <f>64638+33566</f>
        <v>98204</v>
      </c>
      <c r="F13" s="11">
        <v>-16007</v>
      </c>
      <c r="G13" s="8">
        <f t="shared" si="4"/>
        <v>16.535443677386766</v>
      </c>
      <c r="H13" s="8">
        <v>5939</v>
      </c>
      <c r="I13" s="8">
        <v>11704</v>
      </c>
      <c r="J13" s="8">
        <f t="shared" si="0"/>
        <v>1170400</v>
      </c>
      <c r="K13" s="8">
        <v>36558</v>
      </c>
      <c r="L13" s="8">
        <v>89</v>
      </c>
      <c r="M13" s="130">
        <v>0.71</v>
      </c>
      <c r="N13" s="36">
        <f>62912+35272</f>
        <v>98184</v>
      </c>
      <c r="O13" s="11">
        <v>22059</v>
      </c>
      <c r="P13" s="8">
        <f t="shared" si="5"/>
        <v>10.892389616152652</v>
      </c>
      <c r="Q13" s="8">
        <v>9014</v>
      </c>
      <c r="R13" s="8">
        <v>319</v>
      </c>
      <c r="S13" s="8">
        <f t="shared" si="1"/>
        <v>31900</v>
      </c>
      <c r="T13" s="16">
        <v>2156</v>
      </c>
      <c r="U13" s="36">
        <f>68188+52965</f>
        <v>121153</v>
      </c>
      <c r="V13" s="11">
        <v>734</v>
      </c>
      <c r="W13" s="8">
        <f t="shared" si="6"/>
        <v>13.110377664754896</v>
      </c>
      <c r="X13" s="8">
        <v>9241</v>
      </c>
      <c r="Y13" s="8">
        <v>20826</v>
      </c>
      <c r="Z13" s="8">
        <f t="shared" si="2"/>
        <v>2082600</v>
      </c>
      <c r="AA13" s="16">
        <v>15286</v>
      </c>
      <c r="AB13" s="36">
        <f>69839+32645</f>
        <v>102484</v>
      </c>
      <c r="AC13" s="11">
        <v>12290</v>
      </c>
      <c r="AD13" s="8">
        <f t="shared" si="7"/>
        <v>12.878110077909023</v>
      </c>
      <c r="AE13" s="8">
        <v>7958</v>
      </c>
      <c r="AF13" s="8">
        <v>30339</v>
      </c>
      <c r="AG13" s="8">
        <f t="shared" si="3"/>
        <v>3033900</v>
      </c>
      <c r="AH13" s="16">
        <v>12643</v>
      </c>
      <c r="AI13">
        <v>89</v>
      </c>
      <c r="AJ13">
        <v>0.71</v>
      </c>
    </row>
    <row r="14" spans="4:36" x14ac:dyDescent="0.25">
      <c r="D14" s="28" t="s">
        <v>18</v>
      </c>
      <c r="E14" s="36">
        <f>79130+46392</f>
        <v>125522</v>
      </c>
      <c r="F14" s="11">
        <v>-57738</v>
      </c>
      <c r="G14" s="8">
        <f t="shared" si="4"/>
        <v>25.939656953916099</v>
      </c>
      <c r="H14" s="8">
        <v>4839</v>
      </c>
      <c r="I14" s="8">
        <v>533</v>
      </c>
      <c r="J14" s="8">
        <f t="shared" si="0"/>
        <v>53300</v>
      </c>
      <c r="K14" s="8">
        <v>14853</v>
      </c>
      <c r="L14" s="8">
        <v>78</v>
      </c>
      <c r="M14" s="130">
        <v>1.52</v>
      </c>
      <c r="N14" s="36">
        <f>42566+51052</f>
        <v>93618</v>
      </c>
      <c r="O14" s="11">
        <v>-19510</v>
      </c>
      <c r="P14" s="8">
        <f t="shared" si="5"/>
        <v>19.84272997032641</v>
      </c>
      <c r="Q14" s="8">
        <v>4718</v>
      </c>
      <c r="R14" s="8">
        <v>364</v>
      </c>
      <c r="S14" s="8">
        <f t="shared" si="1"/>
        <v>36400</v>
      </c>
      <c r="T14" s="16">
        <v>1502</v>
      </c>
      <c r="U14" s="36">
        <f>-9631+52470</f>
        <v>42839</v>
      </c>
      <c r="V14" s="11">
        <v>53146</v>
      </c>
      <c r="W14" s="8">
        <f t="shared" si="6"/>
        <v>7.0055600981193784</v>
      </c>
      <c r="X14" s="8">
        <v>6115</v>
      </c>
      <c r="Y14" s="8">
        <v>102344</v>
      </c>
      <c r="Z14" s="8">
        <f t="shared" si="2"/>
        <v>10234400</v>
      </c>
      <c r="AA14" s="16">
        <v>51047</v>
      </c>
      <c r="AB14" s="36">
        <f>37592+51608</f>
        <v>89200</v>
      </c>
      <c r="AC14" s="11">
        <v>5889</v>
      </c>
      <c r="AD14" s="8">
        <f t="shared" si="7"/>
        <v>16.710378418883476</v>
      </c>
      <c r="AE14" s="8">
        <v>5338</v>
      </c>
      <c r="AF14" s="8">
        <v>27728</v>
      </c>
      <c r="AG14" s="8">
        <f t="shared" si="3"/>
        <v>2772800</v>
      </c>
      <c r="AH14" s="16">
        <v>11748</v>
      </c>
      <c r="AI14">
        <v>78</v>
      </c>
      <c r="AJ14">
        <v>1.52</v>
      </c>
    </row>
    <row r="15" spans="4:36" x14ac:dyDescent="0.25">
      <c r="D15" s="28" t="s">
        <v>19</v>
      </c>
      <c r="E15" s="36">
        <f>54473+24731</f>
        <v>79204</v>
      </c>
      <c r="F15" s="11">
        <v>-28296</v>
      </c>
      <c r="G15" s="8">
        <f t="shared" si="4"/>
        <v>22.013340744858255</v>
      </c>
      <c r="H15" s="8">
        <v>3598</v>
      </c>
      <c r="I15" s="8">
        <v>312</v>
      </c>
      <c r="J15" s="8">
        <f t="shared" si="0"/>
        <v>31200</v>
      </c>
      <c r="K15" s="8">
        <v>7797</v>
      </c>
      <c r="L15" s="8">
        <v>65</v>
      </c>
      <c r="M15" s="130">
        <v>1.64</v>
      </c>
      <c r="N15" s="36">
        <f>60091+30078</f>
        <v>90169</v>
      </c>
      <c r="O15" s="11">
        <v>-25145</v>
      </c>
      <c r="P15" s="8">
        <f t="shared" si="5"/>
        <v>21.597365269461079</v>
      </c>
      <c r="Q15" s="8">
        <v>4175</v>
      </c>
      <c r="R15" s="8">
        <v>233</v>
      </c>
      <c r="S15" s="8">
        <f t="shared" si="1"/>
        <v>23300</v>
      </c>
      <c r="T15" s="16">
        <v>1064</v>
      </c>
      <c r="U15" s="36">
        <f>38436+30680</f>
        <v>69116</v>
      </c>
      <c r="V15" s="11">
        <v>6381</v>
      </c>
      <c r="W15" s="8">
        <f t="shared" si="6"/>
        <v>13.94592413236481</v>
      </c>
      <c r="X15" s="8">
        <v>4956</v>
      </c>
      <c r="Y15" s="8">
        <v>8111</v>
      </c>
      <c r="Z15" s="8">
        <f t="shared" si="2"/>
        <v>811100</v>
      </c>
      <c r="AA15" s="16">
        <v>2451</v>
      </c>
      <c r="AB15" s="36">
        <f>88908+28029</f>
        <v>116937</v>
      </c>
      <c r="AC15" s="11">
        <v>-57008</v>
      </c>
      <c r="AD15" s="8">
        <f t="shared" si="7"/>
        <v>30.539827631235308</v>
      </c>
      <c r="AE15" s="8">
        <v>3829</v>
      </c>
      <c r="AF15" s="8">
        <v>6487</v>
      </c>
      <c r="AG15" s="8">
        <f t="shared" si="3"/>
        <v>648700</v>
      </c>
      <c r="AH15" s="16">
        <v>4013</v>
      </c>
      <c r="AI15">
        <v>65</v>
      </c>
      <c r="AJ15">
        <v>1.64</v>
      </c>
    </row>
    <row r="16" spans="4:36" x14ac:dyDescent="0.25">
      <c r="D16" s="28" t="s">
        <v>20</v>
      </c>
      <c r="E16" s="36">
        <f>49606+24546</f>
        <v>74152</v>
      </c>
      <c r="F16" s="11">
        <v>-34414</v>
      </c>
      <c r="G16" s="8">
        <f t="shared" si="4"/>
        <v>20.609227348526961</v>
      </c>
      <c r="H16" s="8">
        <v>3598</v>
      </c>
      <c r="I16" s="8">
        <v>166</v>
      </c>
      <c r="J16" s="8">
        <f t="shared" si="0"/>
        <v>16600</v>
      </c>
      <c r="K16" s="8">
        <v>848</v>
      </c>
      <c r="L16" s="8">
        <v>50</v>
      </c>
      <c r="M16" s="130">
        <v>1.78</v>
      </c>
      <c r="N16" s="36">
        <f>23522+25703</f>
        <v>49225</v>
      </c>
      <c r="O16" s="11">
        <v>-5977</v>
      </c>
      <c r="P16" s="8">
        <f t="shared" si="5"/>
        <v>13.070897503983005</v>
      </c>
      <c r="Q16" s="8">
        <v>3766</v>
      </c>
      <c r="R16" s="8">
        <v>234</v>
      </c>
      <c r="S16" s="8">
        <f t="shared" si="1"/>
        <v>23400</v>
      </c>
      <c r="T16" s="16">
        <v>982</v>
      </c>
      <c r="U16" s="36">
        <f>20153+27272</f>
        <v>47425</v>
      </c>
      <c r="V16" s="11">
        <v>-12769</v>
      </c>
      <c r="W16" s="8">
        <f t="shared" si="6"/>
        <v>13.55</v>
      </c>
      <c r="X16" s="8">
        <v>3500</v>
      </c>
      <c r="Y16" s="8">
        <v>656</v>
      </c>
      <c r="Z16" s="8">
        <f t="shared" si="2"/>
        <v>65600</v>
      </c>
      <c r="AA16" s="16">
        <v>2159</v>
      </c>
      <c r="AB16" s="36">
        <f>35229+23575</f>
        <v>58804</v>
      </c>
      <c r="AC16" s="11">
        <v>-26690</v>
      </c>
      <c r="AD16" s="8">
        <f t="shared" si="7"/>
        <v>22.880933852140078</v>
      </c>
      <c r="AE16" s="8">
        <v>2570</v>
      </c>
      <c r="AF16" s="8">
        <v>4483</v>
      </c>
      <c r="AG16" s="8">
        <f t="shared" si="3"/>
        <v>448300</v>
      </c>
      <c r="AH16" s="16">
        <v>3453</v>
      </c>
      <c r="AI16">
        <v>50</v>
      </c>
      <c r="AJ16">
        <v>1.78</v>
      </c>
    </row>
    <row r="17" spans="4:36" ht="15.75" thickBot="1" x14ac:dyDescent="0.3">
      <c r="D17" s="29" t="s">
        <v>21</v>
      </c>
      <c r="E17" s="37">
        <f>23730+25325</f>
        <v>49055</v>
      </c>
      <c r="F17" s="32">
        <v>-44622</v>
      </c>
      <c r="G17" s="9">
        <f>E17/H17</f>
        <v>155.23734177215189</v>
      </c>
      <c r="H17" s="9">
        <v>316</v>
      </c>
      <c r="I17" s="9">
        <v>325</v>
      </c>
      <c r="J17" s="9">
        <f t="shared" si="0"/>
        <v>32500</v>
      </c>
      <c r="K17" s="9">
        <v>1289</v>
      </c>
      <c r="L17" s="9">
        <v>40</v>
      </c>
      <c r="M17" s="131">
        <v>1.62</v>
      </c>
      <c r="N17" s="37">
        <f>60035+22962</f>
        <v>82997</v>
      </c>
      <c r="O17" s="32">
        <v>-68306</v>
      </c>
      <c r="P17" s="9">
        <f>N17/Q17</f>
        <v>97.528789659224444</v>
      </c>
      <c r="Q17" s="9">
        <v>851</v>
      </c>
      <c r="R17" s="9">
        <v>240</v>
      </c>
      <c r="S17" s="9">
        <f t="shared" si="1"/>
        <v>24000</v>
      </c>
      <c r="T17" s="21">
        <v>774</v>
      </c>
      <c r="U17" s="37">
        <f>37570+22830</f>
        <v>60400</v>
      </c>
      <c r="V17" s="32">
        <v>-54012</v>
      </c>
      <c r="W17" s="9">
        <f>U17/X17</f>
        <v>202.68456375838926</v>
      </c>
      <c r="X17" s="9">
        <v>298</v>
      </c>
      <c r="Y17" s="9">
        <v>245</v>
      </c>
      <c r="Z17" s="9">
        <f t="shared" si="2"/>
        <v>24500</v>
      </c>
      <c r="AA17" s="21">
        <v>1375</v>
      </c>
      <c r="AB17" s="37">
        <f>27589+18368</f>
        <v>45957</v>
      </c>
      <c r="AC17" s="32">
        <v>-38561</v>
      </c>
      <c r="AD17" s="9">
        <f>AB17/AE17</f>
        <v>90.46653543307086</v>
      </c>
      <c r="AE17" s="9">
        <v>508</v>
      </c>
      <c r="AF17" s="9">
        <v>290</v>
      </c>
      <c r="AG17" s="9">
        <f t="shared" si="3"/>
        <v>29000</v>
      </c>
      <c r="AH17" s="21">
        <v>1884</v>
      </c>
      <c r="AI17">
        <v>40</v>
      </c>
      <c r="AJ17">
        <v>1.62</v>
      </c>
    </row>
    <row r="18" spans="4:36" x14ac:dyDescent="0.25">
      <c r="D18">
        <v>2016</v>
      </c>
      <c r="E18" s="7">
        <f>SUM(E6:E17)</f>
        <v>1054794</v>
      </c>
      <c r="F18" s="7">
        <f>SUM(F6:F17)</f>
        <v>-370024</v>
      </c>
      <c r="H18" s="15">
        <f>SUM(H6:H17)</f>
        <v>47837</v>
      </c>
      <c r="I18" s="15"/>
      <c r="J18" s="15">
        <f>SUM(J6:J17)</f>
        <v>3330200</v>
      </c>
      <c r="K18" s="7">
        <f>SUM(K6:K17)</f>
        <v>112736</v>
      </c>
      <c r="M18" s="15">
        <f>SUM(N6:N17)</f>
        <v>941332</v>
      </c>
      <c r="N18" s="7">
        <f>SUM(N6:N17)</f>
        <v>941332</v>
      </c>
      <c r="O18" s="7">
        <f>SUM(O6:O17)</f>
        <v>-148680</v>
      </c>
      <c r="P18" s="7"/>
      <c r="Q18" s="15">
        <f>SUM(Q6:Q17)</f>
        <v>51464</v>
      </c>
      <c r="R18" s="15"/>
      <c r="S18" s="15">
        <f>SUM(S6:S17)</f>
        <v>277100</v>
      </c>
      <c r="T18" s="7">
        <f>SUM(T6:T17)</f>
        <v>14324</v>
      </c>
      <c r="U18" s="7">
        <f>SUM(U6:U17)</f>
        <v>923857</v>
      </c>
      <c r="V18" s="7">
        <f>SUM(V6:V17)</f>
        <v>-90066</v>
      </c>
      <c r="W18" s="7"/>
      <c r="X18" s="15">
        <f>SUM(X6:X17)</f>
        <v>57038</v>
      </c>
      <c r="Y18" s="15"/>
      <c r="Z18" s="15">
        <f>SUM(Z6:Z17)</f>
        <v>18370300</v>
      </c>
      <c r="AA18" s="7">
        <f>SUM(AA6:AA17)</f>
        <v>119530</v>
      </c>
      <c r="AB18" s="7">
        <f>SUM(AB6:AB17)</f>
        <v>997797</v>
      </c>
      <c r="AC18" s="7">
        <f>SUM(AC6:AC17)</f>
        <v>-234510</v>
      </c>
      <c r="AD18" s="7"/>
      <c r="AE18" s="15">
        <f>SUM(AE6:AE17)</f>
        <v>47373</v>
      </c>
      <c r="AF18" s="15"/>
      <c r="AG18" s="15">
        <f>SUM(AG6:AG17)</f>
        <v>9486700</v>
      </c>
      <c r="AH18" s="7">
        <f>SUM(AH6:AH17)</f>
        <v>45136</v>
      </c>
    </row>
    <row r="30" spans="4:36" x14ac:dyDescent="0.25">
      <c r="AG30" t="s">
        <v>1334</v>
      </c>
    </row>
    <row r="32" spans="4:36" x14ac:dyDescent="0.25">
      <c r="AG32">
        <v>1419.8</v>
      </c>
      <c r="AH32">
        <f>AG32*4</f>
        <v>5679.2</v>
      </c>
    </row>
    <row r="33" spans="9:34" x14ac:dyDescent="0.25">
      <c r="AG33">
        <v>1456</v>
      </c>
      <c r="AH33">
        <f t="shared" ref="AH33:AH43" si="8">AG33*4</f>
        <v>5824</v>
      </c>
    </row>
    <row r="34" spans="9:34" x14ac:dyDescent="0.25">
      <c r="AG34">
        <v>1860</v>
      </c>
      <c r="AH34">
        <f t="shared" si="8"/>
        <v>7440</v>
      </c>
    </row>
    <row r="35" spans="9:34" x14ac:dyDescent="0.25">
      <c r="I35" t="s">
        <v>22</v>
      </c>
      <c r="AG35">
        <v>2040</v>
      </c>
      <c r="AH35">
        <f t="shared" si="8"/>
        <v>8160</v>
      </c>
    </row>
    <row r="36" spans="9:34" x14ac:dyDescent="0.25">
      <c r="I36" t="s">
        <v>23</v>
      </c>
      <c r="AG36">
        <v>2321.9</v>
      </c>
      <c r="AH36">
        <f t="shared" si="8"/>
        <v>9287.6</v>
      </c>
    </row>
    <row r="37" spans="9:34" x14ac:dyDescent="0.25">
      <c r="I37" t="s">
        <v>24</v>
      </c>
      <c r="AG37">
        <v>2349</v>
      </c>
      <c r="AH37">
        <f t="shared" si="8"/>
        <v>9396</v>
      </c>
    </row>
    <row r="38" spans="9:34" x14ac:dyDescent="0.25">
      <c r="I38" t="s">
        <v>25</v>
      </c>
      <c r="AG38">
        <v>2368.4</v>
      </c>
      <c r="AH38">
        <f t="shared" si="8"/>
        <v>9473.6</v>
      </c>
    </row>
    <row r="39" spans="9:34" x14ac:dyDescent="0.25">
      <c r="I39" t="s">
        <v>26</v>
      </c>
      <c r="AG39">
        <v>2179.3000000000002</v>
      </c>
      <c r="AH39">
        <f t="shared" si="8"/>
        <v>8717.2000000000007</v>
      </c>
    </row>
    <row r="40" spans="9:34" x14ac:dyDescent="0.25">
      <c r="I40" t="s">
        <v>27</v>
      </c>
      <c r="AG40">
        <v>1875</v>
      </c>
      <c r="AH40">
        <f t="shared" si="8"/>
        <v>7500</v>
      </c>
    </row>
    <row r="41" spans="9:34" x14ac:dyDescent="0.25">
      <c r="AG41">
        <v>1686.4</v>
      </c>
      <c r="AH41">
        <f t="shared" si="8"/>
        <v>6745.6</v>
      </c>
    </row>
    <row r="42" spans="9:34" x14ac:dyDescent="0.25">
      <c r="AG42">
        <v>1422</v>
      </c>
      <c r="AH42">
        <f t="shared" si="8"/>
        <v>5688</v>
      </c>
    </row>
    <row r="43" spans="9:34" x14ac:dyDescent="0.25">
      <c r="P43">
        <v>2016</v>
      </c>
      <c r="AG43">
        <v>1357.8</v>
      </c>
      <c r="AH43">
        <f t="shared" si="8"/>
        <v>5431.2</v>
      </c>
    </row>
    <row r="44" spans="9:34" x14ac:dyDescent="0.25">
      <c r="P44">
        <v>2017</v>
      </c>
    </row>
    <row r="45" spans="9:34" x14ac:dyDescent="0.25">
      <c r="P45">
        <v>2018</v>
      </c>
    </row>
    <row r="46" spans="9:34" x14ac:dyDescent="0.25">
      <c r="P46">
        <v>2019</v>
      </c>
    </row>
    <row r="66" spans="9:16" x14ac:dyDescent="0.25">
      <c r="I66" t="s">
        <v>28</v>
      </c>
      <c r="M66" t="s">
        <v>29</v>
      </c>
      <c r="N66" t="s">
        <v>30</v>
      </c>
      <c r="O66" t="s">
        <v>31</v>
      </c>
    </row>
    <row r="67" spans="9:16" x14ac:dyDescent="0.25">
      <c r="I67">
        <v>156</v>
      </c>
      <c r="J67">
        <v>1</v>
      </c>
      <c r="K67">
        <v>27000</v>
      </c>
      <c r="M67" s="13">
        <f>K67*J67*I67</f>
        <v>4212000</v>
      </c>
      <c r="N67" s="13">
        <f>M67/7</f>
        <v>601714.28571428568</v>
      </c>
      <c r="O67" s="15">
        <f>M67/74990</f>
        <v>56.167488998533138</v>
      </c>
    </row>
    <row r="69" spans="9:16" x14ac:dyDescent="0.25">
      <c r="M69" t="s">
        <v>29</v>
      </c>
      <c r="O69" t="s">
        <v>31</v>
      </c>
    </row>
    <row r="70" spans="9:16" x14ac:dyDescent="0.25">
      <c r="I70">
        <v>137</v>
      </c>
      <c r="J70">
        <v>1</v>
      </c>
      <c r="K70">
        <v>27000</v>
      </c>
      <c r="M70" s="13">
        <f>K70*J70*I70</f>
        <v>3699000</v>
      </c>
      <c r="N70" s="13">
        <f>M70/7</f>
        <v>528428.57142857148</v>
      </c>
      <c r="O70" s="15">
        <f>M70/74990</f>
        <v>49.326576876916924</v>
      </c>
      <c r="P70" s="15"/>
    </row>
    <row r="80" spans="9:16" ht="30" x14ac:dyDescent="0.25">
      <c r="I80" t="s">
        <v>32</v>
      </c>
      <c r="J80" t="s">
        <v>33</v>
      </c>
      <c r="K80" t="s">
        <v>34</v>
      </c>
      <c r="L80" s="33" t="s">
        <v>35</v>
      </c>
      <c r="M80" t="s">
        <v>36</v>
      </c>
      <c r="N80" t="s">
        <v>37</v>
      </c>
      <c r="P80" t="s">
        <v>38</v>
      </c>
    </row>
    <row r="81" spans="7:16" x14ac:dyDescent="0.25">
      <c r="G81" s="39">
        <v>0</v>
      </c>
      <c r="H81" t="s">
        <v>10</v>
      </c>
      <c r="I81" s="8">
        <v>7</v>
      </c>
      <c r="J81" s="15">
        <f>I81*100</f>
        <v>700</v>
      </c>
      <c r="K81" s="15">
        <f>J81/43560</f>
        <v>1.6069788797061526E-2</v>
      </c>
      <c r="L81" s="34">
        <v>445</v>
      </c>
      <c r="M81" s="15">
        <f>$O$70-K81</f>
        <v>49.310507088119863</v>
      </c>
      <c r="N81" s="13">
        <f>CONVERT(J81,"ft^3","gal")</f>
        <v>5236.3636363636369</v>
      </c>
      <c r="O81">
        <f>DAY(EOMONTH(A2,G81))</f>
        <v>31</v>
      </c>
      <c r="P81" s="15">
        <f>N81/O81</f>
        <v>168.91495601173023</v>
      </c>
    </row>
    <row r="82" spans="7:16" x14ac:dyDescent="0.25">
      <c r="G82" s="39">
        <v>1</v>
      </c>
      <c r="H82" t="s">
        <v>11</v>
      </c>
      <c r="I82" s="8">
        <v>8</v>
      </c>
      <c r="J82" s="15">
        <f t="shared" ref="J82:J92" si="9">I82*100</f>
        <v>800</v>
      </c>
      <c r="K82" s="15">
        <f t="shared" ref="K82:K92" si="10">J82/43560</f>
        <v>1.8365472910927456E-2</v>
      </c>
      <c r="L82" s="34">
        <v>340</v>
      </c>
      <c r="M82" s="15">
        <f t="shared" ref="M82:M92" si="11">$O$70-K82</f>
        <v>49.308211404005995</v>
      </c>
      <c r="N82" s="13">
        <f t="shared" ref="N82:N92" si="12">CONVERT(J82,"ft^3","gal")</f>
        <v>5984.4155844155848</v>
      </c>
      <c r="O82">
        <f t="shared" ref="O82:O92" si="13">DAY(EOMONTH(A3,G82))</f>
        <v>28</v>
      </c>
      <c r="P82" s="15">
        <f t="shared" ref="P82:P92" si="14">N82/O82</f>
        <v>213.7291280148423</v>
      </c>
    </row>
    <row r="83" spans="7:16" x14ac:dyDescent="0.25">
      <c r="G83" s="39">
        <v>2</v>
      </c>
      <c r="H83" t="s">
        <v>12</v>
      </c>
      <c r="I83" s="8">
        <v>15</v>
      </c>
      <c r="J83" s="15">
        <f t="shared" si="9"/>
        <v>1500</v>
      </c>
      <c r="K83" s="15">
        <f t="shared" si="10"/>
        <v>3.4435261707988982E-2</v>
      </c>
      <c r="L83" s="34">
        <v>365</v>
      </c>
      <c r="M83" s="15">
        <f t="shared" si="11"/>
        <v>49.292141615208934</v>
      </c>
      <c r="N83" s="13">
        <f t="shared" si="12"/>
        <v>11220.779220779223</v>
      </c>
      <c r="O83">
        <f t="shared" si="13"/>
        <v>31</v>
      </c>
      <c r="P83" s="15">
        <f t="shared" si="14"/>
        <v>361.96062002513622</v>
      </c>
    </row>
    <row r="84" spans="7:16" x14ac:dyDescent="0.25">
      <c r="G84" s="39">
        <v>3</v>
      </c>
      <c r="H84" t="s">
        <v>13</v>
      </c>
      <c r="I84" s="8">
        <v>882</v>
      </c>
      <c r="J84" s="15">
        <f t="shared" si="9"/>
        <v>88200</v>
      </c>
      <c r="K84" s="15">
        <f t="shared" si="10"/>
        <v>2.0247933884297522</v>
      </c>
      <c r="L84" s="34">
        <v>2038</v>
      </c>
      <c r="M84" s="15">
        <f t="shared" si="11"/>
        <v>47.301783488487175</v>
      </c>
      <c r="N84" s="13">
        <f t="shared" si="12"/>
        <v>659781.81818181823</v>
      </c>
      <c r="O84">
        <f t="shared" si="13"/>
        <v>30</v>
      </c>
      <c r="P84" s="15">
        <f t="shared" si="14"/>
        <v>21992.727272727276</v>
      </c>
    </row>
    <row r="85" spans="7:16" x14ac:dyDescent="0.25">
      <c r="G85" s="39">
        <v>4</v>
      </c>
      <c r="H85" t="s">
        <v>14</v>
      </c>
      <c r="I85" s="8">
        <v>1837</v>
      </c>
      <c r="J85" s="15">
        <f t="shared" si="9"/>
        <v>183700</v>
      </c>
      <c r="K85" s="15">
        <f t="shared" si="10"/>
        <v>4.2171717171717171</v>
      </c>
      <c r="L85" s="34">
        <v>4284</v>
      </c>
      <c r="M85" s="15">
        <f t="shared" si="11"/>
        <v>45.109405159745208</v>
      </c>
      <c r="N85" s="13">
        <f t="shared" si="12"/>
        <v>1374171.4285714286</v>
      </c>
      <c r="O85">
        <f t="shared" si="13"/>
        <v>31</v>
      </c>
      <c r="P85" s="15">
        <f t="shared" si="14"/>
        <v>44328.11059907834</v>
      </c>
    </row>
    <row r="86" spans="7:16" x14ac:dyDescent="0.25">
      <c r="G86" s="39">
        <v>5</v>
      </c>
      <c r="H86" t="s">
        <v>15</v>
      </c>
      <c r="I86" s="8">
        <v>8291</v>
      </c>
      <c r="J86" s="15">
        <f t="shared" si="9"/>
        <v>829100</v>
      </c>
      <c r="K86" s="15">
        <f t="shared" si="10"/>
        <v>19.033516988062441</v>
      </c>
      <c r="L86" s="34">
        <v>15637</v>
      </c>
      <c r="M86" s="15">
        <f t="shared" si="11"/>
        <v>30.293059888854483</v>
      </c>
      <c r="N86" s="13">
        <f t="shared" si="12"/>
        <v>6202098.7012987016</v>
      </c>
      <c r="O86">
        <f t="shared" si="13"/>
        <v>30</v>
      </c>
      <c r="P86" s="15">
        <f t="shared" si="14"/>
        <v>206736.62337662338</v>
      </c>
    </row>
    <row r="87" spans="7:16" x14ac:dyDescent="0.25">
      <c r="G87" s="39">
        <v>6</v>
      </c>
      <c r="H87" t="s">
        <v>16</v>
      </c>
      <c r="I87" s="8">
        <v>9222</v>
      </c>
      <c r="J87" s="15">
        <f t="shared" si="9"/>
        <v>922200</v>
      </c>
      <c r="K87" s="15">
        <f t="shared" si="10"/>
        <v>21.170798898071624</v>
      </c>
      <c r="L87" s="34">
        <v>28282</v>
      </c>
      <c r="M87" s="15">
        <f t="shared" si="11"/>
        <v>28.1557779788453</v>
      </c>
      <c r="N87" s="13">
        <f t="shared" si="12"/>
        <v>6898535.0649350649</v>
      </c>
      <c r="O87">
        <f t="shared" si="13"/>
        <v>31</v>
      </c>
      <c r="P87" s="15">
        <f t="shared" si="14"/>
        <v>222533.38919145369</v>
      </c>
    </row>
    <row r="88" spans="7:16" x14ac:dyDescent="0.25">
      <c r="G88" s="39">
        <v>7</v>
      </c>
      <c r="H88" t="s">
        <v>17</v>
      </c>
      <c r="I88" s="8">
        <v>11704</v>
      </c>
      <c r="J88" s="15">
        <f t="shared" si="9"/>
        <v>1170400</v>
      </c>
      <c r="K88" s="15">
        <f t="shared" si="10"/>
        <v>26.868686868686869</v>
      </c>
      <c r="L88" s="34">
        <v>36558</v>
      </c>
      <c r="M88" s="15">
        <f t="shared" si="11"/>
        <v>22.457890008230056</v>
      </c>
      <c r="N88" s="13">
        <f t="shared" si="12"/>
        <v>8755200</v>
      </c>
      <c r="O88">
        <f t="shared" si="13"/>
        <v>31</v>
      </c>
      <c r="P88" s="15">
        <f t="shared" si="14"/>
        <v>282425.80645161291</v>
      </c>
    </row>
    <row r="89" spans="7:16" x14ac:dyDescent="0.25">
      <c r="G89" s="39">
        <v>8</v>
      </c>
      <c r="H89" t="s">
        <v>18</v>
      </c>
      <c r="I89" s="8">
        <v>533</v>
      </c>
      <c r="J89" s="15">
        <f t="shared" si="9"/>
        <v>53300</v>
      </c>
      <c r="K89" s="15">
        <f t="shared" si="10"/>
        <v>1.2235996326905418</v>
      </c>
      <c r="L89" s="34">
        <v>14853</v>
      </c>
      <c r="M89" s="15">
        <f t="shared" si="11"/>
        <v>48.102977244226381</v>
      </c>
      <c r="N89" s="13">
        <f t="shared" si="12"/>
        <v>398711.68831168837</v>
      </c>
      <c r="O89">
        <f t="shared" si="13"/>
        <v>30</v>
      </c>
      <c r="P89" s="15">
        <f t="shared" si="14"/>
        <v>13290.389610389613</v>
      </c>
    </row>
    <row r="90" spans="7:16" x14ac:dyDescent="0.25">
      <c r="G90" s="39">
        <v>9</v>
      </c>
      <c r="H90" t="s">
        <v>19</v>
      </c>
      <c r="I90" s="8">
        <v>312</v>
      </c>
      <c r="J90" s="15">
        <f t="shared" si="9"/>
        <v>31200</v>
      </c>
      <c r="K90" s="15">
        <f t="shared" si="10"/>
        <v>0.71625344352617082</v>
      </c>
      <c r="L90" s="34">
        <v>7797</v>
      </c>
      <c r="M90" s="15">
        <f t="shared" si="11"/>
        <v>48.610323433390754</v>
      </c>
      <c r="N90" s="13">
        <f t="shared" si="12"/>
        <v>233392.2077922078</v>
      </c>
      <c r="O90">
        <f t="shared" si="13"/>
        <v>31</v>
      </c>
      <c r="P90" s="15">
        <f t="shared" si="14"/>
        <v>7528.7808965228323</v>
      </c>
    </row>
    <row r="91" spans="7:16" x14ac:dyDescent="0.25">
      <c r="G91" s="39">
        <v>10</v>
      </c>
      <c r="H91" t="s">
        <v>20</v>
      </c>
      <c r="I91" s="8">
        <v>166</v>
      </c>
      <c r="J91" s="15">
        <f t="shared" si="9"/>
        <v>16600</v>
      </c>
      <c r="K91" s="15">
        <f t="shared" si="10"/>
        <v>0.38108356290174472</v>
      </c>
      <c r="L91" s="34">
        <v>848</v>
      </c>
      <c r="M91" s="15">
        <f t="shared" si="11"/>
        <v>48.945493314015181</v>
      </c>
      <c r="N91" s="13">
        <f t="shared" si="12"/>
        <v>124176.62337662339</v>
      </c>
      <c r="O91">
        <f t="shared" si="13"/>
        <v>30</v>
      </c>
      <c r="P91" s="15">
        <f t="shared" si="14"/>
        <v>4139.2207792207801</v>
      </c>
    </row>
    <row r="92" spans="7:16" ht="15.75" thickBot="1" x14ac:dyDescent="0.3">
      <c r="G92" s="39">
        <v>11</v>
      </c>
      <c r="H92" t="s">
        <v>21</v>
      </c>
      <c r="I92" s="9">
        <v>325</v>
      </c>
      <c r="J92" s="15">
        <f t="shared" si="9"/>
        <v>32500</v>
      </c>
      <c r="K92" s="15">
        <f t="shared" si="10"/>
        <v>0.74609733700642789</v>
      </c>
      <c r="L92" s="35">
        <v>1289</v>
      </c>
      <c r="M92" s="15">
        <f t="shared" si="11"/>
        <v>48.580479539910499</v>
      </c>
      <c r="N92" s="13">
        <f t="shared" si="12"/>
        <v>243116.88311688314</v>
      </c>
      <c r="O92">
        <f t="shared" si="13"/>
        <v>31</v>
      </c>
      <c r="P92" s="15">
        <f t="shared" si="14"/>
        <v>7842.480100544617</v>
      </c>
    </row>
    <row r="97" spans="9:9" x14ac:dyDescent="0.25">
      <c r="I97" s="15"/>
    </row>
  </sheetData>
  <mergeCells count="5">
    <mergeCell ref="AB4:AH4"/>
    <mergeCell ref="U4:AA4"/>
    <mergeCell ref="N4:T4"/>
    <mergeCell ref="E4:M4"/>
    <mergeCell ref="D3:AD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E64C-DC13-4092-9E93-C066C152E08D}">
  <dimension ref="A2:FR159"/>
  <sheetViews>
    <sheetView tabSelected="1" topLeftCell="D1" zoomScale="85" zoomScaleNormal="85" workbookViewId="0">
      <selection activeCell="R45" sqref="R45"/>
    </sheetView>
  </sheetViews>
  <sheetFormatPr defaultRowHeight="15" x14ac:dyDescent="0.25"/>
  <cols>
    <col min="2" max="2" width="13.42578125" bestFit="1" customWidth="1"/>
    <col min="3" max="3" width="12.28515625" bestFit="1" customWidth="1"/>
    <col min="4" max="4" width="11.140625" customWidth="1"/>
    <col min="5" max="5" width="15.5703125" bestFit="1" customWidth="1"/>
    <col min="6" max="6" width="14" bestFit="1" customWidth="1"/>
    <col min="7" max="7" width="13.42578125" bestFit="1" customWidth="1"/>
    <col min="8" max="8" width="11.42578125" bestFit="1" customWidth="1"/>
    <col min="9" max="9" width="14" bestFit="1" customWidth="1"/>
    <col min="10" max="10" width="12.28515625" bestFit="1" customWidth="1"/>
    <col min="11" max="11" width="11.7109375" bestFit="1" customWidth="1"/>
    <col min="12" max="12" width="11.140625" bestFit="1" customWidth="1"/>
    <col min="13" max="13" width="11.85546875" bestFit="1" customWidth="1"/>
    <col min="14" max="14" width="14.7109375" bestFit="1" customWidth="1"/>
    <col min="15" max="15" width="18.140625" bestFit="1" customWidth="1"/>
    <col min="16" max="17" width="11.140625" bestFit="1" customWidth="1"/>
    <col min="18" max="18" width="19.28515625" bestFit="1" customWidth="1"/>
    <col min="19" max="20" width="15.7109375" bestFit="1" customWidth="1"/>
    <col min="21" max="21" width="14.140625" bestFit="1" customWidth="1"/>
    <col min="22" max="22" width="12.28515625" customWidth="1"/>
    <col min="23" max="23" width="14.140625" bestFit="1" customWidth="1"/>
    <col min="24" max="24" width="12.42578125" bestFit="1" customWidth="1"/>
    <col min="25" max="25" width="11.140625" bestFit="1" customWidth="1"/>
    <col min="26" max="26" width="12.28515625" bestFit="1" customWidth="1"/>
    <col min="27" max="27" width="11.140625" bestFit="1" customWidth="1"/>
    <col min="28" max="28" width="10.140625" bestFit="1" customWidth="1"/>
    <col min="29" max="29" width="14.7109375" bestFit="1" customWidth="1"/>
    <col min="30" max="33" width="14.7109375" customWidth="1"/>
    <col min="34" max="34" width="10" bestFit="1" customWidth="1"/>
    <col min="149" max="150" width="15.5703125" bestFit="1" customWidth="1"/>
    <col min="151" max="151" width="9" customWidth="1"/>
    <col min="152" max="152" width="8.140625" customWidth="1"/>
  </cols>
  <sheetData>
    <row r="2" spans="2:32" ht="15.75" thickBot="1" x14ac:dyDescent="0.3"/>
    <row r="3" spans="2:32" ht="18.75" x14ac:dyDescent="0.3">
      <c r="D3" s="27"/>
      <c r="E3" s="134">
        <v>2016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6"/>
    </row>
    <row r="4" spans="2:32" ht="75" x14ac:dyDescent="0.25">
      <c r="B4" t="s">
        <v>1262</v>
      </c>
      <c r="D4" s="28"/>
      <c r="E4" s="43" t="s">
        <v>39</v>
      </c>
      <c r="F4" s="40" t="s">
        <v>2</v>
      </c>
      <c r="G4" s="40" t="s">
        <v>40</v>
      </c>
      <c r="H4" s="40" t="s">
        <v>1337</v>
      </c>
      <c r="I4" s="40" t="s">
        <v>1335</v>
      </c>
      <c r="J4" s="44" t="s">
        <v>3</v>
      </c>
      <c r="K4" s="44" t="s">
        <v>1336</v>
      </c>
      <c r="L4" s="40" t="s">
        <v>1256</v>
      </c>
      <c r="M4" s="40" t="s">
        <v>46</v>
      </c>
      <c r="N4" s="40" t="s">
        <v>1334</v>
      </c>
      <c r="O4" s="40" t="s">
        <v>1252</v>
      </c>
      <c r="P4" s="40" t="s">
        <v>1255</v>
      </c>
      <c r="Q4" s="40" t="s">
        <v>5</v>
      </c>
      <c r="R4" s="40" t="s">
        <v>6</v>
      </c>
      <c r="S4" s="40" t="s">
        <v>7</v>
      </c>
      <c r="T4" s="41" t="s">
        <v>8</v>
      </c>
      <c r="U4" t="s">
        <v>42</v>
      </c>
      <c r="V4" t="s">
        <v>34</v>
      </c>
      <c r="W4" s="45" t="s">
        <v>44</v>
      </c>
      <c r="X4" s="45" t="s">
        <v>1327</v>
      </c>
      <c r="Y4" s="45" t="s">
        <v>1328</v>
      </c>
      <c r="Z4" s="45" t="s">
        <v>1250</v>
      </c>
      <c r="AA4" s="45" t="s">
        <v>1251</v>
      </c>
      <c r="AB4" s="45" t="s">
        <v>1259</v>
      </c>
      <c r="AC4" s="45" t="s">
        <v>1248</v>
      </c>
      <c r="AD4" s="45"/>
      <c r="AF4" s="45" t="s">
        <v>1340</v>
      </c>
    </row>
    <row r="5" spans="2:32" x14ac:dyDescent="0.25">
      <c r="B5" s="42">
        <f t="shared" ref="B5:B16" si="0">E5-R5</f>
        <v>35849</v>
      </c>
      <c r="C5">
        <v>31</v>
      </c>
      <c r="D5" s="28" t="s">
        <v>10</v>
      </c>
      <c r="E5" s="36">
        <f>20451+15843</f>
        <v>36294</v>
      </c>
      <c r="F5" s="11">
        <v>-36294</v>
      </c>
      <c r="G5" s="11">
        <f>E5+F5</f>
        <v>0</v>
      </c>
      <c r="H5" s="11"/>
      <c r="I5" s="11"/>
      <c r="J5" s="8" t="e">
        <f t="shared" ref="J5:J16" si="1">E5/L5</f>
        <v>#DIV/0!</v>
      </c>
      <c r="K5" s="8"/>
      <c r="L5" s="8">
        <v>0</v>
      </c>
      <c r="M5" s="8"/>
      <c r="N5" s="8">
        <f t="shared" ref="N5:N16" si="2">((AB5*60+AA5)*C5)/10</f>
        <v>1419.8</v>
      </c>
      <c r="O5" s="8"/>
      <c r="P5" s="8"/>
      <c r="Q5" s="8">
        <v>7</v>
      </c>
      <c r="R5" s="11">
        <v>445</v>
      </c>
      <c r="S5" s="31">
        <v>38</v>
      </c>
      <c r="T5" s="16">
        <v>1.45</v>
      </c>
      <c r="U5" s="15">
        <f>Q5*100</f>
        <v>700</v>
      </c>
      <c r="V5" s="15">
        <f>U5/43560</f>
        <v>1.6069788797061526E-2</v>
      </c>
      <c r="W5" s="15">
        <f>U5*7.841</f>
        <v>5488.7</v>
      </c>
      <c r="X5" s="15">
        <f t="shared" ref="X5:X16" si="3">W5/C5</f>
        <v>177.05483870967743</v>
      </c>
      <c r="Y5" s="95">
        <v>0.40143555854241336</v>
      </c>
      <c r="Z5" s="94">
        <v>9</v>
      </c>
      <c r="AA5" s="93">
        <v>38</v>
      </c>
      <c r="AB5" s="93">
        <f>Z5-2</f>
        <v>7</v>
      </c>
      <c r="AC5" s="88">
        <v>9.6443410899063539E-3</v>
      </c>
      <c r="AD5" s="89">
        <f>Z5*60</f>
        <v>540</v>
      </c>
      <c r="AE5" s="129">
        <f>AD5+AA5</f>
        <v>578</v>
      </c>
      <c r="AF5">
        <f>AE5*C5</f>
        <v>17918</v>
      </c>
    </row>
    <row r="6" spans="2:32" x14ac:dyDescent="0.25">
      <c r="B6" s="42">
        <f t="shared" si="0"/>
        <v>70448</v>
      </c>
      <c r="C6">
        <v>28</v>
      </c>
      <c r="D6" s="28" t="s">
        <v>11</v>
      </c>
      <c r="E6" s="36">
        <f>31931+38857</f>
        <v>70788</v>
      </c>
      <c r="F6" s="11">
        <v>-47986</v>
      </c>
      <c r="G6" s="11">
        <f>E6+F6</f>
        <v>22802</v>
      </c>
      <c r="H6" s="11">
        <f t="shared" ref="H6:H17" si="4">G6/L6</f>
        <v>14.913015042511445</v>
      </c>
      <c r="I6" s="11">
        <f>H6*K6-E6</f>
        <v>0</v>
      </c>
      <c r="J6" s="8">
        <f t="shared" si="1"/>
        <v>46.296926095487244</v>
      </c>
      <c r="K6" s="99">
        <v>4746.7262520831509</v>
      </c>
      <c r="L6" s="101">
        <v>1529</v>
      </c>
      <c r="M6" s="8">
        <f>L6-K6</f>
        <v>-3217.7262520831509</v>
      </c>
      <c r="N6" s="8">
        <f t="shared" si="2"/>
        <v>1456</v>
      </c>
      <c r="O6" s="8">
        <f>N6*0.5</f>
        <v>728</v>
      </c>
      <c r="P6" s="8">
        <f>O6*4</f>
        <v>2912</v>
      </c>
      <c r="Q6" s="8">
        <v>8</v>
      </c>
      <c r="R6" s="11">
        <v>340</v>
      </c>
      <c r="S6" s="31">
        <v>44</v>
      </c>
      <c r="T6" s="16">
        <v>1.48</v>
      </c>
      <c r="U6" s="15">
        <f t="shared" ref="U6:U16" si="5">Q6*100</f>
        <v>800</v>
      </c>
      <c r="V6" s="15">
        <f t="shared" ref="V6:V16" si="6">U6/43560</f>
        <v>1.8365472910927456E-2</v>
      </c>
      <c r="W6" s="15">
        <f t="shared" ref="W6:W16" si="7">U6*7.841</f>
        <v>6272.8</v>
      </c>
      <c r="X6" s="15">
        <f t="shared" si="3"/>
        <v>224.02857142857144</v>
      </c>
      <c r="Y6" s="95">
        <v>0.44470785440613025</v>
      </c>
      <c r="Z6" s="94">
        <v>10</v>
      </c>
      <c r="AA6" s="93">
        <v>40</v>
      </c>
      <c r="AB6" s="93">
        <f t="shared" ref="AB6:AB16" si="8">Z6-2</f>
        <v>8</v>
      </c>
      <c r="AC6" s="88">
        <v>1.4487120172309707E-2</v>
      </c>
      <c r="AD6" s="89">
        <f t="shared" ref="AD6:AD16" si="9">Z6*60</f>
        <v>600</v>
      </c>
      <c r="AE6" s="129">
        <f t="shared" ref="AE6:AE16" si="10">AD6+AA6</f>
        <v>640</v>
      </c>
      <c r="AF6">
        <f t="shared" ref="AF6:AF16" si="11">AE6*C6</f>
        <v>17920</v>
      </c>
    </row>
    <row r="7" spans="2:32" x14ac:dyDescent="0.25">
      <c r="B7" s="42">
        <f t="shared" si="0"/>
        <v>109136</v>
      </c>
      <c r="C7">
        <v>31</v>
      </c>
      <c r="D7" s="28" t="s">
        <v>12</v>
      </c>
      <c r="E7" s="36">
        <f>33899+75602</f>
        <v>109501</v>
      </c>
      <c r="F7" s="11">
        <v>-46099</v>
      </c>
      <c r="G7" s="11">
        <f t="shared" ref="G7:G16" si="12">E7+F7</f>
        <v>63402</v>
      </c>
      <c r="H7" s="11">
        <f t="shared" si="4"/>
        <v>15.593212001967535</v>
      </c>
      <c r="I7" s="11">
        <f t="shared" ref="I7:I16" si="13">H7*K7-E7</f>
        <v>0</v>
      </c>
      <c r="J7" s="8">
        <f t="shared" si="1"/>
        <v>26.930890309886866</v>
      </c>
      <c r="K7" s="99">
        <v>7022.3504936752788</v>
      </c>
      <c r="L7" s="101">
        <v>4066</v>
      </c>
      <c r="M7" s="8">
        <f t="shared" ref="M7:M18" si="14">L7-K7</f>
        <v>-2956.3504936752788</v>
      </c>
      <c r="N7" s="8">
        <f t="shared" si="2"/>
        <v>1860</v>
      </c>
      <c r="O7" s="8">
        <f t="shared" ref="O7:O18" si="15">N7*0.5</f>
        <v>930</v>
      </c>
      <c r="P7" s="8">
        <f t="shared" ref="P7:P16" si="16">O7*4</f>
        <v>3720</v>
      </c>
      <c r="Q7" s="8">
        <v>15</v>
      </c>
      <c r="R7" s="11">
        <v>365</v>
      </c>
      <c r="S7" s="31">
        <v>53</v>
      </c>
      <c r="T7" s="16">
        <v>2.2200000000000002</v>
      </c>
      <c r="U7" s="15">
        <f t="shared" si="5"/>
        <v>1500</v>
      </c>
      <c r="V7" s="15">
        <f t="shared" si="6"/>
        <v>3.4435261707988982E-2</v>
      </c>
      <c r="W7" s="15">
        <f t="shared" si="7"/>
        <v>11761.5</v>
      </c>
      <c r="X7" s="15">
        <f t="shared" si="3"/>
        <v>379.40322580645159</v>
      </c>
      <c r="Y7" s="95">
        <v>0.50056635802469152</v>
      </c>
      <c r="Z7" s="94">
        <v>12</v>
      </c>
      <c r="AA7" s="93">
        <v>0</v>
      </c>
      <c r="AB7" s="93">
        <f t="shared" si="8"/>
        <v>10</v>
      </c>
      <c r="AC7" s="88">
        <v>1.6321592739403375E-2</v>
      </c>
      <c r="AD7" s="89">
        <f t="shared" si="9"/>
        <v>720</v>
      </c>
      <c r="AE7" s="129">
        <f t="shared" si="10"/>
        <v>720</v>
      </c>
      <c r="AF7">
        <f t="shared" si="11"/>
        <v>22320</v>
      </c>
    </row>
    <row r="8" spans="2:32" x14ac:dyDescent="0.25">
      <c r="B8" s="42">
        <f t="shared" si="0"/>
        <v>72768</v>
      </c>
      <c r="C8">
        <v>30</v>
      </c>
      <c r="D8" s="28" t="s">
        <v>13</v>
      </c>
      <c r="E8" s="36">
        <f>44205+30601</f>
        <v>74806</v>
      </c>
      <c r="F8" s="11">
        <v>4539</v>
      </c>
      <c r="G8" s="11">
        <f t="shared" si="12"/>
        <v>79345</v>
      </c>
      <c r="H8" s="11">
        <f t="shared" si="4"/>
        <v>14.566733982008445</v>
      </c>
      <c r="I8" s="11">
        <f t="shared" si="13"/>
        <v>0</v>
      </c>
      <c r="J8" s="8">
        <f t="shared" si="1"/>
        <v>13.733431246557739</v>
      </c>
      <c r="K8" s="99">
        <v>5135.3996093011501</v>
      </c>
      <c r="L8" s="101">
        <v>5447</v>
      </c>
      <c r="M8" s="8">
        <f t="shared" si="14"/>
        <v>311.60039069884988</v>
      </c>
      <c r="N8" s="8">
        <f t="shared" si="2"/>
        <v>2040</v>
      </c>
      <c r="O8" s="8">
        <f t="shared" si="15"/>
        <v>1020</v>
      </c>
      <c r="P8" s="8">
        <f t="shared" si="16"/>
        <v>4080</v>
      </c>
      <c r="Q8" s="8">
        <v>882</v>
      </c>
      <c r="R8" s="11">
        <v>2038</v>
      </c>
      <c r="S8" s="31">
        <v>61</v>
      </c>
      <c r="T8" s="16">
        <v>2.33</v>
      </c>
      <c r="U8" s="15">
        <f t="shared" si="5"/>
        <v>88200</v>
      </c>
      <c r="V8" s="15">
        <f t="shared" si="6"/>
        <v>2.0247933884297522</v>
      </c>
      <c r="W8" s="15">
        <f t="shared" si="7"/>
        <v>691576.20000000007</v>
      </c>
      <c r="X8" s="15">
        <f t="shared" si="3"/>
        <v>23052.54</v>
      </c>
      <c r="Y8" s="95">
        <v>0.55598611111111096</v>
      </c>
      <c r="Z8" s="94">
        <v>13</v>
      </c>
      <c r="AA8" s="93">
        <v>20</v>
      </c>
      <c r="AB8" s="93">
        <f t="shared" si="8"/>
        <v>11</v>
      </c>
      <c r="AC8" s="88">
        <v>1.5364251045557048E-2</v>
      </c>
      <c r="AD8" s="89">
        <f t="shared" si="9"/>
        <v>780</v>
      </c>
      <c r="AE8" s="129">
        <f t="shared" si="10"/>
        <v>800</v>
      </c>
      <c r="AF8">
        <f t="shared" si="11"/>
        <v>24000</v>
      </c>
    </row>
    <row r="9" spans="2:32" x14ac:dyDescent="0.25">
      <c r="B9" s="42">
        <f t="shared" si="0"/>
        <v>98066</v>
      </c>
      <c r="C9">
        <v>31</v>
      </c>
      <c r="D9" s="28" t="s">
        <v>14</v>
      </c>
      <c r="E9" s="36">
        <f>73628+28722</f>
        <v>102350</v>
      </c>
      <c r="F9" s="11">
        <v>-12878</v>
      </c>
      <c r="G9" s="11">
        <f t="shared" si="12"/>
        <v>89472</v>
      </c>
      <c r="H9" s="11">
        <f t="shared" si="4"/>
        <v>14.867397806580259</v>
      </c>
      <c r="I9" s="11">
        <f t="shared" si="13"/>
        <v>0</v>
      </c>
      <c r="J9" s="8">
        <f t="shared" si="1"/>
        <v>17.007311399135926</v>
      </c>
      <c r="K9" s="99">
        <v>6884.1905847639482</v>
      </c>
      <c r="L9" s="101">
        <v>6018</v>
      </c>
      <c r="M9" s="8">
        <f t="shared" si="14"/>
        <v>-866.19058476394821</v>
      </c>
      <c r="N9" s="8">
        <f t="shared" si="2"/>
        <v>2321.9</v>
      </c>
      <c r="O9" s="8">
        <f t="shared" si="15"/>
        <v>1160.95</v>
      </c>
      <c r="P9" s="8">
        <f t="shared" si="16"/>
        <v>4643.8</v>
      </c>
      <c r="Q9" s="8">
        <v>1837</v>
      </c>
      <c r="R9" s="11">
        <v>4284</v>
      </c>
      <c r="S9" s="31">
        <v>71</v>
      </c>
      <c r="T9" s="16">
        <v>2.1</v>
      </c>
      <c r="U9" s="15">
        <f t="shared" si="5"/>
        <v>183700</v>
      </c>
      <c r="V9" s="15">
        <f t="shared" si="6"/>
        <v>4.2171717171717171</v>
      </c>
      <c r="W9" s="15">
        <f t="shared" si="7"/>
        <v>1440391.7</v>
      </c>
      <c r="X9" s="15">
        <f t="shared" si="3"/>
        <v>46464.24838709677</v>
      </c>
      <c r="Y9" s="95">
        <v>0.60354502688172063</v>
      </c>
      <c r="Z9" s="94">
        <v>14</v>
      </c>
      <c r="AA9" s="93">
        <v>29</v>
      </c>
      <c r="AB9" s="93">
        <f t="shared" si="8"/>
        <v>12</v>
      </c>
      <c r="AC9" s="88">
        <v>1.1439844472405666E-2</v>
      </c>
      <c r="AD9" s="89">
        <f t="shared" si="9"/>
        <v>840</v>
      </c>
      <c r="AE9" s="129">
        <f t="shared" si="10"/>
        <v>869</v>
      </c>
      <c r="AF9">
        <f t="shared" si="11"/>
        <v>26939</v>
      </c>
    </row>
    <row r="10" spans="2:32" x14ac:dyDescent="0.25">
      <c r="B10" s="42">
        <f t="shared" si="0"/>
        <v>127135</v>
      </c>
      <c r="C10">
        <v>30</v>
      </c>
      <c r="D10" s="28" t="s">
        <v>15</v>
      </c>
      <c r="E10" s="36">
        <f>96010+46762</f>
        <v>142772</v>
      </c>
      <c r="F10" s="11">
        <v>-46929</v>
      </c>
      <c r="G10" s="11">
        <f t="shared" si="12"/>
        <v>95843</v>
      </c>
      <c r="H10" s="11">
        <f t="shared" si="4"/>
        <v>22.152366188173758</v>
      </c>
      <c r="I10" s="11">
        <f t="shared" si="13"/>
        <v>8.277987944893539E-5</v>
      </c>
      <c r="J10" s="8">
        <f t="shared" si="1"/>
        <v>32.999150959568709</v>
      </c>
      <c r="K10" s="99">
        <v>6445</v>
      </c>
      <c r="L10" s="101">
        <v>4326.5355576853299</v>
      </c>
      <c r="M10" s="8">
        <f t="shared" si="14"/>
        <v>-2118.4644423146701</v>
      </c>
      <c r="N10" s="8">
        <f t="shared" si="2"/>
        <v>2349</v>
      </c>
      <c r="O10" s="8">
        <f t="shared" si="15"/>
        <v>1174.5</v>
      </c>
      <c r="P10" s="8">
        <f t="shared" si="16"/>
        <v>4698</v>
      </c>
      <c r="Q10" s="8">
        <v>8291</v>
      </c>
      <c r="R10" s="11">
        <v>15637</v>
      </c>
      <c r="S10" s="8">
        <v>82</v>
      </c>
      <c r="T10" s="16">
        <v>1.1299999999999999</v>
      </c>
      <c r="U10" s="15">
        <f t="shared" si="5"/>
        <v>829100</v>
      </c>
      <c r="V10" s="15">
        <f t="shared" si="6"/>
        <v>19.033516988062441</v>
      </c>
      <c r="W10" s="15">
        <f t="shared" si="7"/>
        <v>6500973.1000000006</v>
      </c>
      <c r="X10" s="15">
        <f t="shared" si="3"/>
        <v>216699.10333333336</v>
      </c>
      <c r="Y10" s="95">
        <v>0.62710493827160485</v>
      </c>
      <c r="Z10" s="94">
        <v>15</v>
      </c>
      <c r="AA10" s="93">
        <v>3</v>
      </c>
      <c r="AB10" s="93">
        <f t="shared" si="8"/>
        <v>13</v>
      </c>
      <c r="AC10" s="88">
        <v>2.2073790006837618E-3</v>
      </c>
      <c r="AD10" s="89">
        <f t="shared" si="9"/>
        <v>900</v>
      </c>
      <c r="AE10" s="129">
        <f t="shared" si="10"/>
        <v>903</v>
      </c>
      <c r="AF10">
        <f t="shared" si="11"/>
        <v>27090</v>
      </c>
    </row>
    <row r="11" spans="2:32" x14ac:dyDescent="0.25">
      <c r="B11" s="42">
        <f t="shared" si="0"/>
        <v>63864</v>
      </c>
      <c r="C11">
        <v>31</v>
      </c>
      <c r="D11" s="28" t="s">
        <v>16</v>
      </c>
      <c r="E11" s="36">
        <f>51810+40336</f>
        <v>92146</v>
      </c>
      <c r="F11" s="11">
        <v>-3300</v>
      </c>
      <c r="G11" s="11">
        <f t="shared" si="12"/>
        <v>88846</v>
      </c>
      <c r="H11" s="11">
        <f t="shared" si="4"/>
        <v>15.250910294615183</v>
      </c>
      <c r="I11" s="11">
        <f t="shared" si="13"/>
        <v>6.4930645748972893E-8</v>
      </c>
      <c r="J11" s="8">
        <f t="shared" si="1"/>
        <v>15.817373657875544</v>
      </c>
      <c r="K11" s="99">
        <v>6042</v>
      </c>
      <c r="L11" s="101">
        <v>5825.6194734402116</v>
      </c>
      <c r="M11" s="8">
        <f t="shared" si="14"/>
        <v>-216.38052655978845</v>
      </c>
      <c r="N11" s="8">
        <f t="shared" si="2"/>
        <v>2368.4</v>
      </c>
      <c r="O11" s="8">
        <f t="shared" si="15"/>
        <v>1184.2</v>
      </c>
      <c r="P11" s="8">
        <f t="shared" si="16"/>
        <v>4736.8</v>
      </c>
      <c r="Q11" s="8">
        <v>9222</v>
      </c>
      <c r="R11" s="11">
        <v>28282</v>
      </c>
      <c r="S11" s="8">
        <v>90</v>
      </c>
      <c r="T11" s="16">
        <v>0.59</v>
      </c>
      <c r="U11" s="15">
        <f t="shared" si="5"/>
        <v>922200</v>
      </c>
      <c r="V11" s="15">
        <f t="shared" si="6"/>
        <v>21.170798898071624</v>
      </c>
      <c r="W11" s="15">
        <f t="shared" si="7"/>
        <v>7230970.2000000002</v>
      </c>
      <c r="X11" s="15">
        <f t="shared" si="3"/>
        <v>233257.10322580647</v>
      </c>
      <c r="Y11" s="95">
        <v>0.61413007765830341</v>
      </c>
      <c r="Z11" s="94">
        <v>14</v>
      </c>
      <c r="AA11" s="93">
        <v>44</v>
      </c>
      <c r="AB11" s="93">
        <f t="shared" si="8"/>
        <v>12</v>
      </c>
      <c r="AC11" s="88">
        <v>8.9791992363585909E-3</v>
      </c>
      <c r="AD11" s="89">
        <f t="shared" si="9"/>
        <v>840</v>
      </c>
      <c r="AE11" s="129">
        <f t="shared" si="10"/>
        <v>884</v>
      </c>
      <c r="AF11">
        <f t="shared" si="11"/>
        <v>27404</v>
      </c>
    </row>
    <row r="12" spans="2:32" x14ac:dyDescent="0.25">
      <c r="B12" s="42">
        <f t="shared" si="0"/>
        <v>61646</v>
      </c>
      <c r="C12">
        <v>31</v>
      </c>
      <c r="D12" s="28" t="s">
        <v>17</v>
      </c>
      <c r="E12" s="36">
        <f>64638+33566</f>
        <v>98204</v>
      </c>
      <c r="F12" s="11">
        <v>-16007</v>
      </c>
      <c r="G12" s="11">
        <f t="shared" si="12"/>
        <v>82197</v>
      </c>
      <c r="H12" s="11">
        <f t="shared" si="4"/>
        <v>16.535443780171398</v>
      </c>
      <c r="I12" s="11">
        <f t="shared" si="13"/>
        <v>6.1043794266879559E-4</v>
      </c>
      <c r="J12" s="8">
        <f t="shared" si="1"/>
        <v>19.755547294766867</v>
      </c>
      <c r="K12" s="99">
        <v>5939</v>
      </c>
      <c r="L12" s="101">
        <v>4970.9582090906533</v>
      </c>
      <c r="M12" s="8">
        <f>L12-K12</f>
        <v>-968.04179090934667</v>
      </c>
      <c r="N12" s="8">
        <f t="shared" si="2"/>
        <v>2179.3000000000002</v>
      </c>
      <c r="O12" s="8">
        <f t="shared" si="15"/>
        <v>1089.6500000000001</v>
      </c>
      <c r="P12" s="8">
        <f t="shared" si="16"/>
        <v>4358.6000000000004</v>
      </c>
      <c r="Q12" s="8">
        <v>11704</v>
      </c>
      <c r="R12" s="11">
        <v>36558</v>
      </c>
      <c r="S12" s="8">
        <v>89</v>
      </c>
      <c r="T12" s="16">
        <v>0.71</v>
      </c>
      <c r="U12" s="15">
        <f t="shared" si="5"/>
        <v>1170400</v>
      </c>
      <c r="V12" s="15">
        <f t="shared" si="6"/>
        <v>26.868686868686869</v>
      </c>
      <c r="W12" s="15">
        <f t="shared" si="7"/>
        <v>9177106.4000000004</v>
      </c>
      <c r="X12" s="15">
        <f t="shared" si="3"/>
        <v>296035.69032258063</v>
      </c>
      <c r="Y12" s="95">
        <v>0.57169952210274799</v>
      </c>
      <c r="Z12" s="94">
        <v>13</v>
      </c>
      <c r="AA12" s="93">
        <v>43</v>
      </c>
      <c r="AB12" s="93">
        <f t="shared" si="8"/>
        <v>11</v>
      </c>
      <c r="AC12" s="88">
        <v>1.4838178208767556E-2</v>
      </c>
      <c r="AD12" s="89">
        <f t="shared" si="9"/>
        <v>780</v>
      </c>
      <c r="AE12" s="129">
        <f t="shared" si="10"/>
        <v>823</v>
      </c>
      <c r="AF12">
        <f t="shared" si="11"/>
        <v>25513</v>
      </c>
    </row>
    <row r="13" spans="2:32" x14ac:dyDescent="0.25">
      <c r="B13" s="42">
        <f t="shared" si="0"/>
        <v>110669</v>
      </c>
      <c r="C13">
        <v>30</v>
      </c>
      <c r="D13" s="28" t="s">
        <v>18</v>
      </c>
      <c r="E13" s="36">
        <f>79130+46392</f>
        <v>125522</v>
      </c>
      <c r="F13" s="11">
        <v>-57738</v>
      </c>
      <c r="G13" s="11">
        <f t="shared" si="12"/>
        <v>67784</v>
      </c>
      <c r="H13" s="11">
        <f t="shared" si="4"/>
        <v>14.007852862161604</v>
      </c>
      <c r="I13" s="11">
        <f t="shared" si="13"/>
        <v>0</v>
      </c>
      <c r="J13" s="8">
        <f t="shared" si="1"/>
        <v>25.939656953916099</v>
      </c>
      <c r="K13" s="99">
        <v>8960.8308450371769</v>
      </c>
      <c r="L13" s="101">
        <v>4839</v>
      </c>
      <c r="M13" s="8">
        <f t="shared" si="14"/>
        <v>-4121.8308450371769</v>
      </c>
      <c r="N13" s="8">
        <f t="shared" si="2"/>
        <v>1875</v>
      </c>
      <c r="O13" s="8">
        <f t="shared" si="15"/>
        <v>937.5</v>
      </c>
      <c r="P13" s="8">
        <f t="shared" si="16"/>
        <v>3750</v>
      </c>
      <c r="Q13" s="8">
        <v>533</v>
      </c>
      <c r="R13" s="11">
        <v>14853</v>
      </c>
      <c r="S13" s="8">
        <v>78</v>
      </c>
      <c r="T13" s="16">
        <v>1.52</v>
      </c>
      <c r="U13" s="15">
        <f t="shared" si="5"/>
        <v>53300</v>
      </c>
      <c r="V13" s="15">
        <f t="shared" si="6"/>
        <v>1.2235996326905418</v>
      </c>
      <c r="W13" s="15">
        <f t="shared" si="7"/>
        <v>417925.3</v>
      </c>
      <c r="X13" s="15">
        <f t="shared" si="3"/>
        <v>13930.843333333332</v>
      </c>
      <c r="Y13" s="95">
        <v>0.51758564814814811</v>
      </c>
      <c r="Z13" s="94">
        <v>12</v>
      </c>
      <c r="AA13" s="93">
        <v>25</v>
      </c>
      <c r="AB13" s="93">
        <f t="shared" si="8"/>
        <v>10</v>
      </c>
      <c r="AC13" s="88">
        <v>1.6013254850857014E-2</v>
      </c>
      <c r="AD13" s="89">
        <f t="shared" si="9"/>
        <v>720</v>
      </c>
      <c r="AE13" s="129">
        <f t="shared" si="10"/>
        <v>745</v>
      </c>
      <c r="AF13">
        <f t="shared" si="11"/>
        <v>22350</v>
      </c>
    </row>
    <row r="14" spans="2:32" x14ac:dyDescent="0.25">
      <c r="B14" s="42">
        <f t="shared" si="0"/>
        <v>71407</v>
      </c>
      <c r="C14">
        <v>31</v>
      </c>
      <c r="D14" s="28" t="s">
        <v>19</v>
      </c>
      <c r="E14" s="36">
        <f>54473+24731</f>
        <v>79204</v>
      </c>
      <c r="F14" s="11">
        <v>-28296</v>
      </c>
      <c r="G14" s="11">
        <f t="shared" si="12"/>
        <v>50908</v>
      </c>
      <c r="H14" s="11">
        <f t="shared" si="4"/>
        <v>14.148971650917176</v>
      </c>
      <c r="I14" s="11">
        <f t="shared" si="13"/>
        <v>0</v>
      </c>
      <c r="J14" s="8">
        <f t="shared" si="1"/>
        <v>22.013340744858255</v>
      </c>
      <c r="K14" s="99">
        <v>5597.8626541997337</v>
      </c>
      <c r="L14" s="101">
        <v>3598</v>
      </c>
      <c r="M14" s="8">
        <f t="shared" si="14"/>
        <v>-1999.8626541997337</v>
      </c>
      <c r="N14" s="8">
        <f t="shared" si="2"/>
        <v>1686.4</v>
      </c>
      <c r="O14" s="8">
        <f t="shared" si="15"/>
        <v>843.2</v>
      </c>
      <c r="P14" s="8">
        <f t="shared" si="16"/>
        <v>3372.8</v>
      </c>
      <c r="Q14" s="8">
        <v>312</v>
      </c>
      <c r="R14" s="11">
        <v>7797</v>
      </c>
      <c r="S14" s="8">
        <v>65</v>
      </c>
      <c r="T14" s="16">
        <v>1.64</v>
      </c>
      <c r="U14" s="15">
        <f t="shared" si="5"/>
        <v>31200</v>
      </c>
      <c r="V14" s="15">
        <f t="shared" si="6"/>
        <v>0.71625344352617082</v>
      </c>
      <c r="W14" s="15">
        <f t="shared" si="7"/>
        <v>244639.2</v>
      </c>
      <c r="X14" s="15">
        <f t="shared" si="3"/>
        <v>7891.5870967741939</v>
      </c>
      <c r="Y14" s="95">
        <v>0.46155391278375152</v>
      </c>
      <c r="Z14" s="94">
        <v>11</v>
      </c>
      <c r="AA14" s="93">
        <v>4</v>
      </c>
      <c r="AB14" s="93">
        <f t="shared" si="8"/>
        <v>9</v>
      </c>
      <c r="AC14" s="88">
        <v>1.6021393156489632E-2</v>
      </c>
      <c r="AD14" s="89">
        <f t="shared" si="9"/>
        <v>660</v>
      </c>
      <c r="AE14" s="129">
        <f t="shared" si="10"/>
        <v>664</v>
      </c>
      <c r="AF14">
        <f t="shared" si="11"/>
        <v>20584</v>
      </c>
    </row>
    <row r="15" spans="2:32" x14ac:dyDescent="0.25">
      <c r="B15" s="42">
        <f t="shared" si="0"/>
        <v>73304</v>
      </c>
      <c r="C15">
        <v>30</v>
      </c>
      <c r="D15" s="28" t="s">
        <v>20</v>
      </c>
      <c r="E15" s="36">
        <f>49606+24546</f>
        <v>74152</v>
      </c>
      <c r="F15" s="11">
        <v>-34414</v>
      </c>
      <c r="G15" s="11">
        <f t="shared" si="12"/>
        <v>39738</v>
      </c>
      <c r="H15" s="11">
        <f t="shared" si="4"/>
        <v>11.044469149527515</v>
      </c>
      <c r="I15" s="11">
        <f t="shared" si="13"/>
        <v>0</v>
      </c>
      <c r="J15" s="8">
        <f t="shared" si="1"/>
        <v>20.609227348526961</v>
      </c>
      <c r="K15" s="99">
        <v>6713.9487644068658</v>
      </c>
      <c r="L15" s="101">
        <v>3598</v>
      </c>
      <c r="M15" s="8">
        <f t="shared" si="14"/>
        <v>-3115.9487644068658</v>
      </c>
      <c r="N15" s="8">
        <f t="shared" si="2"/>
        <v>1422</v>
      </c>
      <c r="O15" s="8">
        <f t="shared" si="15"/>
        <v>711</v>
      </c>
      <c r="P15" s="8">
        <f t="shared" si="16"/>
        <v>2844</v>
      </c>
      <c r="Q15" s="8">
        <v>166</v>
      </c>
      <c r="R15" s="11">
        <v>848</v>
      </c>
      <c r="S15" s="8">
        <v>50</v>
      </c>
      <c r="T15" s="16">
        <v>1.78</v>
      </c>
      <c r="U15" s="15">
        <f t="shared" si="5"/>
        <v>16600</v>
      </c>
      <c r="V15" s="15">
        <f t="shared" si="6"/>
        <v>0.38108356290174472</v>
      </c>
      <c r="W15" s="15">
        <f t="shared" si="7"/>
        <v>130160.6</v>
      </c>
      <c r="X15" s="15">
        <f t="shared" si="3"/>
        <v>4338.6866666666665</v>
      </c>
      <c r="Y15" s="95">
        <v>0.41259259259259262</v>
      </c>
      <c r="Z15" s="94">
        <v>9</v>
      </c>
      <c r="AA15" s="93">
        <v>54</v>
      </c>
      <c r="AB15" s="93">
        <f t="shared" si="8"/>
        <v>7</v>
      </c>
      <c r="AC15" s="88">
        <v>1.1627971529667866E-2</v>
      </c>
      <c r="AD15" s="89">
        <f t="shared" si="9"/>
        <v>540</v>
      </c>
      <c r="AE15" s="129">
        <f t="shared" si="10"/>
        <v>594</v>
      </c>
      <c r="AF15">
        <f t="shared" si="11"/>
        <v>17820</v>
      </c>
    </row>
    <row r="16" spans="2:32" ht="15.75" thickBot="1" x14ac:dyDescent="0.3">
      <c r="B16" s="42">
        <f t="shared" si="0"/>
        <v>47766</v>
      </c>
      <c r="C16">
        <v>31</v>
      </c>
      <c r="D16" s="29" t="s">
        <v>21</v>
      </c>
      <c r="E16" s="37">
        <f>23730+25325</f>
        <v>49055</v>
      </c>
      <c r="F16" s="32">
        <v>-44622</v>
      </c>
      <c r="G16" s="11">
        <f t="shared" si="12"/>
        <v>4433</v>
      </c>
      <c r="H16" s="11">
        <f t="shared" si="4"/>
        <v>14.028481012658228</v>
      </c>
      <c r="I16" s="11">
        <f t="shared" si="13"/>
        <v>0</v>
      </c>
      <c r="J16" s="9">
        <f t="shared" si="1"/>
        <v>155.23734177215189</v>
      </c>
      <c r="K16" s="100">
        <v>3496.8147981051206</v>
      </c>
      <c r="L16" s="102">
        <v>316</v>
      </c>
      <c r="M16" s="8">
        <f t="shared" si="14"/>
        <v>-3180.8147981051206</v>
      </c>
      <c r="N16" s="8">
        <f t="shared" si="2"/>
        <v>1357.8</v>
      </c>
      <c r="O16" s="8">
        <f t="shared" si="15"/>
        <v>678.9</v>
      </c>
      <c r="P16" s="8">
        <f t="shared" si="16"/>
        <v>2715.6</v>
      </c>
      <c r="Q16" s="9">
        <v>325</v>
      </c>
      <c r="R16" s="32">
        <v>1289</v>
      </c>
      <c r="S16" s="9">
        <v>40</v>
      </c>
      <c r="T16" s="21">
        <v>1.62</v>
      </c>
      <c r="U16" s="15">
        <f t="shared" si="5"/>
        <v>32500</v>
      </c>
      <c r="V16" s="15">
        <f t="shared" si="6"/>
        <v>0.74609733700642789</v>
      </c>
      <c r="W16" s="15">
        <f t="shared" si="7"/>
        <v>254832.5</v>
      </c>
      <c r="X16" s="15">
        <f t="shared" si="3"/>
        <v>8220.4032258064508</v>
      </c>
      <c r="Y16" s="95">
        <v>0.38771953405017923</v>
      </c>
      <c r="Z16" s="94">
        <v>9</v>
      </c>
      <c r="AA16" s="93">
        <v>18</v>
      </c>
      <c r="AB16" s="93">
        <f t="shared" si="8"/>
        <v>7</v>
      </c>
      <c r="AC16" s="88">
        <v>2.5008061900349677E-3</v>
      </c>
      <c r="AD16" s="89">
        <f t="shared" si="9"/>
        <v>540</v>
      </c>
      <c r="AE16" s="129">
        <f t="shared" si="10"/>
        <v>558</v>
      </c>
      <c r="AF16">
        <f t="shared" si="11"/>
        <v>17298</v>
      </c>
    </row>
    <row r="17" spans="4:32" x14ac:dyDescent="0.25">
      <c r="E17" s="42">
        <f>SUM(E5:E16)</f>
        <v>1054794</v>
      </c>
      <c r="F17" s="42">
        <f>SUM(F5:F16)</f>
        <v>-370024</v>
      </c>
      <c r="G17" s="42">
        <f>SUM(G5:G16)</f>
        <v>684770</v>
      </c>
      <c r="H17" s="11">
        <f t="shared" si="4"/>
        <v>15.376302572959364</v>
      </c>
      <c r="I17" s="11">
        <f>H17*K18-E17</f>
        <v>0</v>
      </c>
      <c r="J17" s="42"/>
      <c r="K17" s="15">
        <f t="shared" ref="K17:L17" si="17">SUM(K6:K16)</f>
        <v>66984.124001572432</v>
      </c>
      <c r="L17" s="15">
        <f t="shared" si="17"/>
        <v>44534.113240216197</v>
      </c>
      <c r="M17" s="8">
        <f t="shared" si="14"/>
        <v>-22450.010761356236</v>
      </c>
      <c r="N17" s="15">
        <f>SUM(N6:N16)</f>
        <v>20915.8</v>
      </c>
      <c r="O17" s="8">
        <f t="shared" si="15"/>
        <v>10457.9</v>
      </c>
      <c r="P17" s="15">
        <f>SUM(P6:P16)</f>
        <v>41831.599999999999</v>
      </c>
      <c r="Q17" s="15">
        <f t="shared" ref="Q17:R17" si="18">SUM(Q6:Q16)</f>
        <v>33295</v>
      </c>
      <c r="R17" s="7">
        <f t="shared" si="18"/>
        <v>112291</v>
      </c>
      <c r="V17" s="15">
        <f>SUM(V5:V16)</f>
        <v>76.45087235996327</v>
      </c>
      <c r="AE17" s="129"/>
      <c r="AF17" t="s">
        <v>1260</v>
      </c>
    </row>
    <row r="18" spans="4:32" x14ac:dyDescent="0.25">
      <c r="K18" s="13">
        <v>68598.676111834051</v>
      </c>
      <c r="L18" s="13">
        <v>44534.113240216197</v>
      </c>
      <c r="M18" s="8">
        <f t="shared" si="14"/>
        <v>-24064.562871617854</v>
      </c>
      <c r="N18" s="15">
        <f>N17*4</f>
        <v>83663.199999999997</v>
      </c>
      <c r="O18" s="127">
        <f t="shared" si="15"/>
        <v>41831.599999999999</v>
      </c>
      <c r="AA18" s="28" t="s">
        <v>10</v>
      </c>
      <c r="AB18" s="133">
        <f>AB5*60+AA5</f>
        <v>458</v>
      </c>
      <c r="AC18" s="129">
        <f>AB18/60</f>
        <v>7.6333333333333337</v>
      </c>
      <c r="AE18" s="129"/>
    </row>
    <row r="19" spans="4:32" x14ac:dyDescent="0.25">
      <c r="G19" s="42">
        <f>G17/18</f>
        <v>38042.777777777781</v>
      </c>
      <c r="M19" s="15">
        <f>SUM(M6:M16)</f>
        <v>-22450.010761356229</v>
      </c>
      <c r="S19" s="13">
        <f>R17/156</f>
        <v>719.81410256410254</v>
      </c>
      <c r="AA19" s="28" t="s">
        <v>11</v>
      </c>
      <c r="AB19" s="133">
        <f t="shared" ref="AB19:AB29" si="19">AB6*60+AA6</f>
        <v>520</v>
      </c>
      <c r="AC19" s="129">
        <f t="shared" ref="AC19:AC29" si="20">AB19/60</f>
        <v>8.6666666666666661</v>
      </c>
    </row>
    <row r="20" spans="4:32" x14ac:dyDescent="0.25">
      <c r="M20" s="15"/>
      <c r="AA20" s="28" t="s">
        <v>12</v>
      </c>
      <c r="AB20" s="133">
        <f t="shared" si="19"/>
        <v>600</v>
      </c>
      <c r="AC20" s="129">
        <f t="shared" si="20"/>
        <v>10</v>
      </c>
    </row>
    <row r="21" spans="4:32" x14ac:dyDescent="0.25">
      <c r="E21" s="7">
        <v>1054794</v>
      </c>
      <c r="F21" s="7">
        <v>-370024</v>
      </c>
      <c r="G21" s="7">
        <v>684770</v>
      </c>
      <c r="H21" s="7">
        <v>21.012703315197125</v>
      </c>
      <c r="I21" s="11">
        <f>H21*K21-E21</f>
        <v>0</v>
      </c>
      <c r="K21" s="13">
        <v>50197.919999999998</v>
      </c>
      <c r="M21" s="15"/>
      <c r="N21" s="15"/>
      <c r="P21" s="15"/>
      <c r="AA21" s="28" t="s">
        <v>13</v>
      </c>
      <c r="AB21" s="133">
        <f t="shared" si="19"/>
        <v>680</v>
      </c>
      <c r="AC21" s="129">
        <f t="shared" si="20"/>
        <v>11.333333333333334</v>
      </c>
    </row>
    <row r="22" spans="4:32" x14ac:dyDescent="0.25">
      <c r="M22" s="15"/>
      <c r="AA22" s="28" t="s">
        <v>14</v>
      </c>
      <c r="AB22" s="133">
        <f t="shared" si="19"/>
        <v>749</v>
      </c>
      <c r="AC22" s="129">
        <f t="shared" si="20"/>
        <v>12.483333333333333</v>
      </c>
    </row>
    <row r="23" spans="4:32" x14ac:dyDescent="0.25">
      <c r="M23" s="15"/>
      <c r="AA23" s="28" t="s">
        <v>15</v>
      </c>
      <c r="AB23" s="133">
        <f t="shared" si="19"/>
        <v>783</v>
      </c>
      <c r="AC23" s="129">
        <f t="shared" si="20"/>
        <v>13.05</v>
      </c>
    </row>
    <row r="24" spans="4:32" x14ac:dyDescent="0.25">
      <c r="M24" s="15"/>
      <c r="AA24" s="28" t="s">
        <v>16</v>
      </c>
      <c r="AB24" s="133">
        <f t="shared" si="19"/>
        <v>764</v>
      </c>
      <c r="AC24" s="129">
        <f t="shared" si="20"/>
        <v>12.733333333333333</v>
      </c>
    </row>
    <row r="25" spans="4:32" x14ac:dyDescent="0.25">
      <c r="O25" s="103"/>
      <c r="P25" s="103"/>
      <c r="Q25" s="103"/>
      <c r="R25" t="s">
        <v>1269</v>
      </c>
      <c r="S25" t="s">
        <v>1270</v>
      </c>
      <c r="AA25" s="28" t="s">
        <v>17</v>
      </c>
      <c r="AB25" s="133">
        <f t="shared" si="19"/>
        <v>703</v>
      </c>
      <c r="AC25" s="129">
        <f t="shared" si="20"/>
        <v>11.716666666666667</v>
      </c>
    </row>
    <row r="26" spans="4:32" x14ac:dyDescent="0.25">
      <c r="D26" t="s">
        <v>1257</v>
      </c>
      <c r="O26" s="103"/>
      <c r="P26" s="104"/>
      <c r="Q26" s="103"/>
      <c r="R26">
        <f t="shared" ref="R26:R38" si="21">R5/Q5</f>
        <v>63.571428571428569</v>
      </c>
      <c r="S26">
        <f>R26/7.481</f>
        <v>8.4977180285294178</v>
      </c>
      <c r="AA26" s="28" t="s">
        <v>18</v>
      </c>
      <c r="AB26" s="133">
        <f t="shared" si="19"/>
        <v>625</v>
      </c>
      <c r="AC26" s="129">
        <f t="shared" si="20"/>
        <v>10.416666666666666</v>
      </c>
    </row>
    <row r="27" spans="4:32" x14ac:dyDescent="0.25">
      <c r="D27" t="s">
        <v>1261</v>
      </c>
      <c r="F27" s="42"/>
      <c r="O27" s="103"/>
      <c r="P27" s="103"/>
      <c r="Q27" s="103"/>
      <c r="R27">
        <f t="shared" si="21"/>
        <v>42.5</v>
      </c>
      <c r="S27">
        <f t="shared" ref="S27:S38" si="22">R27/7.481</f>
        <v>5.6810586819943856</v>
      </c>
      <c r="T27" s="105"/>
      <c r="AA27" s="28" t="s">
        <v>19</v>
      </c>
      <c r="AB27" s="133">
        <f t="shared" si="19"/>
        <v>544</v>
      </c>
      <c r="AC27" s="129">
        <f t="shared" si="20"/>
        <v>9.0666666666666664</v>
      </c>
    </row>
    <row r="28" spans="4:32" x14ac:dyDescent="0.25">
      <c r="O28" s="103" t="s">
        <v>1265</v>
      </c>
      <c r="P28" s="103"/>
      <c r="Q28" s="103"/>
      <c r="R28">
        <f t="shared" si="21"/>
        <v>24.333333333333332</v>
      </c>
      <c r="S28">
        <f t="shared" si="22"/>
        <v>3.252684578710511</v>
      </c>
      <c r="T28" s="7"/>
      <c r="U28" s="42"/>
      <c r="AA28" s="28" t="s">
        <v>20</v>
      </c>
      <c r="AB28" s="133">
        <f t="shared" si="19"/>
        <v>474</v>
      </c>
      <c r="AC28" s="129">
        <f t="shared" si="20"/>
        <v>7.9</v>
      </c>
    </row>
    <row r="29" spans="4:32" ht="15.75" thickBot="1" x14ac:dyDescent="0.3">
      <c r="N29">
        <v>1</v>
      </c>
      <c r="O29" s="103">
        <v>1.54</v>
      </c>
      <c r="P29" s="103"/>
      <c r="Q29" s="103"/>
      <c r="R29">
        <f t="shared" si="21"/>
        <v>2.3106575963718821</v>
      </c>
      <c r="S29">
        <f t="shared" si="22"/>
        <v>0.3088701505643473</v>
      </c>
      <c r="AA29" s="29" t="s">
        <v>21</v>
      </c>
      <c r="AB29" s="133">
        <f t="shared" si="19"/>
        <v>438</v>
      </c>
      <c r="AC29" s="129">
        <f t="shared" si="20"/>
        <v>7.3</v>
      </c>
    </row>
    <row r="30" spans="4:32" x14ac:dyDescent="0.25">
      <c r="N30">
        <v>2</v>
      </c>
      <c r="O30" s="103">
        <v>4.1900000000000004</v>
      </c>
      <c r="P30" s="103"/>
      <c r="Q30" s="103"/>
      <c r="R30">
        <f t="shared" si="21"/>
        <v>2.3320631464344039</v>
      </c>
      <c r="S30">
        <f t="shared" si="22"/>
        <v>0.311731472588478</v>
      </c>
      <c r="AB30" s="133"/>
    </row>
    <row r="31" spans="4:32" x14ac:dyDescent="0.25">
      <c r="N31">
        <v>3</v>
      </c>
      <c r="O31">
        <v>2.1</v>
      </c>
      <c r="R31">
        <f t="shared" si="21"/>
        <v>1.8860209866119888</v>
      </c>
      <c r="S31">
        <f t="shared" si="22"/>
        <v>0.25210813883330957</v>
      </c>
      <c r="AB31" s="133"/>
    </row>
    <row r="32" spans="4:32" x14ac:dyDescent="0.25">
      <c r="N32">
        <v>4</v>
      </c>
      <c r="O32">
        <v>3.63</v>
      </c>
      <c r="R32">
        <f t="shared" si="21"/>
        <v>3.0667967902841031</v>
      </c>
      <c r="S32">
        <f t="shared" si="22"/>
        <v>0.40994476544367103</v>
      </c>
      <c r="AB32" s="133"/>
    </row>
    <row r="33" spans="4:28" x14ac:dyDescent="0.25">
      <c r="E33" t="s">
        <v>28</v>
      </c>
      <c r="F33" t="s">
        <v>1263</v>
      </c>
      <c r="G33" t="s">
        <v>1264</v>
      </c>
      <c r="I33" t="s">
        <v>29</v>
      </c>
      <c r="J33" t="s">
        <v>30</v>
      </c>
      <c r="K33" t="s">
        <v>31</v>
      </c>
      <c r="L33" t="s">
        <v>1342</v>
      </c>
      <c r="N33">
        <v>5</v>
      </c>
      <c r="O33">
        <v>1.53</v>
      </c>
      <c r="R33">
        <f t="shared" si="21"/>
        <v>3.1235475051264525</v>
      </c>
      <c r="S33">
        <f t="shared" si="22"/>
        <v>0.41753074523813027</v>
      </c>
      <c r="AB33" s="133"/>
    </row>
    <row r="34" spans="4:28" x14ac:dyDescent="0.25">
      <c r="E34">
        <v>156</v>
      </c>
      <c r="F34">
        <v>1</v>
      </c>
      <c r="G34">
        <v>27000</v>
      </c>
      <c r="I34" s="13">
        <f>G34*F34*E34</f>
        <v>4212000</v>
      </c>
      <c r="J34" s="13">
        <f>I34/7</f>
        <v>601714.28571428568</v>
      </c>
      <c r="K34" s="15">
        <f>I34/74990</f>
        <v>56.167488998533138</v>
      </c>
      <c r="L34" s="15">
        <f>K34*12</f>
        <v>674.00986798239762</v>
      </c>
      <c r="N34">
        <v>6</v>
      </c>
      <c r="O34">
        <v>2.6</v>
      </c>
      <c r="R34">
        <f t="shared" si="21"/>
        <v>27.866791744840526</v>
      </c>
      <c r="S34">
        <f t="shared" si="22"/>
        <v>3.7250089219142528</v>
      </c>
      <c r="AB34" s="133"/>
    </row>
    <row r="35" spans="4:28" x14ac:dyDescent="0.25">
      <c r="N35">
        <v>7</v>
      </c>
      <c r="O35">
        <v>4.16</v>
      </c>
      <c r="R35">
        <f t="shared" si="21"/>
        <v>24.990384615384617</v>
      </c>
      <c r="S35">
        <f t="shared" si="22"/>
        <v>3.3405139173084639</v>
      </c>
      <c r="AB35" s="133"/>
    </row>
    <row r="36" spans="4:28" x14ac:dyDescent="0.25">
      <c r="I36" t="s">
        <v>29</v>
      </c>
      <c r="K36" t="s">
        <v>31</v>
      </c>
      <c r="N36">
        <v>8</v>
      </c>
      <c r="O36">
        <v>3.75</v>
      </c>
      <c r="R36">
        <f t="shared" si="21"/>
        <v>5.1084337349397586</v>
      </c>
      <c r="S36">
        <f t="shared" si="22"/>
        <v>0.68285439579464757</v>
      </c>
      <c r="AB36" s="133"/>
    </row>
    <row r="37" spans="4:28" x14ac:dyDescent="0.25">
      <c r="E37">
        <v>137</v>
      </c>
      <c r="F37">
        <v>1</v>
      </c>
      <c r="G37">
        <v>27000</v>
      </c>
      <c r="I37" s="13">
        <f>G37*F37*E37</f>
        <v>3699000</v>
      </c>
      <c r="J37" s="13">
        <f>I37/7</f>
        <v>528428.57142857148</v>
      </c>
      <c r="K37" s="15">
        <f>I37/74990</f>
        <v>49.326576876916924</v>
      </c>
      <c r="L37" s="15">
        <f>K37*12</f>
        <v>591.91892252300306</v>
      </c>
      <c r="N37">
        <v>9</v>
      </c>
      <c r="O37">
        <v>3.7</v>
      </c>
      <c r="R37">
        <f t="shared" si="21"/>
        <v>3.9661538461538464</v>
      </c>
      <c r="S37">
        <f t="shared" si="22"/>
        <v>0.53016359392512313</v>
      </c>
    </row>
    <row r="38" spans="4:28" x14ac:dyDescent="0.25">
      <c r="N38">
        <v>10</v>
      </c>
      <c r="O38">
        <v>4.37</v>
      </c>
      <c r="R38">
        <f t="shared" si="21"/>
        <v>3.3726084997747408</v>
      </c>
      <c r="S38">
        <f t="shared" si="22"/>
        <v>0.45082321879090237</v>
      </c>
    </row>
    <row r="39" spans="4:28" x14ac:dyDescent="0.25">
      <c r="N39">
        <v>11</v>
      </c>
      <c r="O39">
        <v>0.56999999999999995</v>
      </c>
    </row>
    <row r="40" spans="4:28" x14ac:dyDescent="0.25">
      <c r="N40">
        <v>12</v>
      </c>
      <c r="O40">
        <v>3.33</v>
      </c>
    </row>
    <row r="41" spans="4:28" x14ac:dyDescent="0.25">
      <c r="E41">
        <v>71.150000000000006</v>
      </c>
      <c r="F41">
        <v>1</v>
      </c>
      <c r="G41">
        <v>27000</v>
      </c>
      <c r="I41" s="13">
        <f>G41*F41*E41</f>
        <v>1921050.0000000002</v>
      </c>
      <c r="J41" s="13">
        <f>I41/7</f>
        <v>274435.71428571432</v>
      </c>
      <c r="K41" s="15">
        <f>I41/74990</f>
        <v>25.617415655420725</v>
      </c>
      <c r="L41" s="15">
        <f>K41*12</f>
        <v>307.40898786504869</v>
      </c>
      <c r="M41" s="15">
        <f>L34-L41</f>
        <v>366.60088011734894</v>
      </c>
      <c r="N41">
        <v>13</v>
      </c>
      <c r="O41">
        <v>0.81</v>
      </c>
    </row>
    <row r="42" spans="4:28" x14ac:dyDescent="0.25">
      <c r="N42">
        <v>14</v>
      </c>
      <c r="O42">
        <v>4.21</v>
      </c>
    </row>
    <row r="43" spans="4:28" x14ac:dyDescent="0.25">
      <c r="D43" t="s">
        <v>14</v>
      </c>
      <c r="E43">
        <v>156</v>
      </c>
      <c r="F43">
        <v>7.4776353276353291E-2</v>
      </c>
      <c r="G43">
        <v>27000</v>
      </c>
      <c r="I43" s="13">
        <f>G43*F43*E43</f>
        <v>314958.00000000006</v>
      </c>
      <c r="J43" s="13">
        <f>I43/7</f>
        <v>44994.000000000007</v>
      </c>
      <c r="K43" s="15">
        <f>I43/74990</f>
        <v>4.2000000000000011</v>
      </c>
      <c r="N43">
        <v>15</v>
      </c>
      <c r="O43">
        <v>4.26</v>
      </c>
    </row>
    <row r="44" spans="4:28" x14ac:dyDescent="0.25">
      <c r="D44" t="s">
        <v>15</v>
      </c>
      <c r="E44">
        <v>156</v>
      </c>
      <c r="F44">
        <v>0.33880809591642924</v>
      </c>
      <c r="G44">
        <v>27000</v>
      </c>
      <c r="I44" s="13">
        <f t="shared" ref="I44:I47" si="23">G44*F44*E44</f>
        <v>1427059.7</v>
      </c>
      <c r="J44" s="13">
        <f t="shared" ref="J44:J47" si="24">I44/7</f>
        <v>203865.67142857143</v>
      </c>
      <c r="K44" s="15">
        <f t="shared" ref="K44:K47" si="25">I44/74990</f>
        <v>19.03</v>
      </c>
      <c r="N44">
        <v>16</v>
      </c>
      <c r="O44">
        <v>3.97</v>
      </c>
    </row>
    <row r="45" spans="4:28" x14ac:dyDescent="0.25">
      <c r="D45" t="s">
        <v>16</v>
      </c>
      <c r="E45">
        <v>156</v>
      </c>
      <c r="F45">
        <v>0.37690842830009502</v>
      </c>
      <c r="G45">
        <v>27000</v>
      </c>
      <c r="I45" s="13">
        <f t="shared" si="23"/>
        <v>1587538.3000000003</v>
      </c>
      <c r="J45" s="13">
        <f t="shared" si="24"/>
        <v>226791.18571428576</v>
      </c>
      <c r="K45" s="15">
        <f t="shared" si="25"/>
        <v>21.170000000000005</v>
      </c>
      <c r="N45">
        <v>17</v>
      </c>
      <c r="O45">
        <v>1.89</v>
      </c>
    </row>
    <row r="46" spans="4:28" x14ac:dyDescent="0.25">
      <c r="D46" t="s">
        <v>17</v>
      </c>
      <c r="E46">
        <v>156</v>
      </c>
      <c r="F46">
        <v>0.47839062203228871</v>
      </c>
      <c r="G46">
        <v>27000</v>
      </c>
      <c r="I46" s="13">
        <f t="shared" si="23"/>
        <v>2014981.3000000003</v>
      </c>
      <c r="J46" s="13">
        <f t="shared" si="24"/>
        <v>287854.47142857144</v>
      </c>
      <c r="K46" s="15">
        <f t="shared" si="25"/>
        <v>26.870000000000005</v>
      </c>
      <c r="N46">
        <v>18</v>
      </c>
      <c r="O46">
        <v>5.34</v>
      </c>
    </row>
    <row r="47" spans="4:28" x14ac:dyDescent="0.25">
      <c r="D47" t="s">
        <v>18</v>
      </c>
      <c r="E47">
        <v>156</v>
      </c>
      <c r="F47">
        <v>2.1720750237416892E-2</v>
      </c>
      <c r="G47">
        <v>27000</v>
      </c>
      <c r="I47" s="13">
        <f t="shared" si="23"/>
        <v>91487.799999999945</v>
      </c>
      <c r="J47" s="13">
        <f t="shared" si="24"/>
        <v>13069.685714285706</v>
      </c>
      <c r="K47" s="15">
        <f t="shared" si="25"/>
        <v>1.2199999999999993</v>
      </c>
      <c r="N47" t="s">
        <v>1266</v>
      </c>
      <c r="O47">
        <v>14.7</v>
      </c>
    </row>
    <row r="48" spans="4:28" x14ac:dyDescent="0.25">
      <c r="N48" t="s">
        <v>1267</v>
      </c>
      <c r="O48">
        <v>0.5</v>
      </c>
    </row>
    <row r="49" spans="3:174" x14ac:dyDescent="0.25">
      <c r="O49">
        <f>SUM(O29:O48)</f>
        <v>71.150000000000006</v>
      </c>
    </row>
    <row r="51" spans="3:174" x14ac:dyDescent="0.25">
      <c r="C51" s="13"/>
      <c r="D51" s="13"/>
    </row>
    <row r="52" spans="3:174" x14ac:dyDescent="0.25">
      <c r="C52" s="107"/>
    </row>
    <row r="53" spans="3:174" x14ac:dyDescent="0.25">
      <c r="C53" s="107"/>
    </row>
    <row r="54" spans="3:174" x14ac:dyDescent="0.25">
      <c r="C54" s="107"/>
    </row>
    <row r="55" spans="3:174" x14ac:dyDescent="0.25">
      <c r="C55" s="107"/>
    </row>
    <row r="56" spans="3:174" x14ac:dyDescent="0.25">
      <c r="C56" s="107"/>
    </row>
    <row r="57" spans="3:174" x14ac:dyDescent="0.25">
      <c r="C57" s="107"/>
    </row>
    <row r="58" spans="3:174" x14ac:dyDescent="0.25">
      <c r="C58" s="107"/>
    </row>
    <row r="59" spans="3:174" x14ac:dyDescent="0.25">
      <c r="C59" s="107"/>
    </row>
    <row r="60" spans="3:174" x14ac:dyDescent="0.25">
      <c r="C60" s="107"/>
    </row>
    <row r="61" spans="3:174" ht="15.75" thickBot="1" x14ac:dyDescent="0.3">
      <c r="C61" s="107"/>
      <c r="AJ61" s="152"/>
      <c r="AK61" s="152"/>
      <c r="AL61" s="152"/>
      <c r="AM61" s="152"/>
      <c r="AN61" s="152"/>
      <c r="AO61" s="152"/>
      <c r="AP61" s="152"/>
      <c r="AQ61" s="152"/>
      <c r="AR61" s="152"/>
      <c r="AS61" s="152"/>
      <c r="AT61" s="152"/>
      <c r="AU61" s="152"/>
      <c r="AV61" s="152"/>
      <c r="AW61" s="152"/>
      <c r="AX61" s="152"/>
      <c r="AY61" s="152"/>
      <c r="AZ61" s="152"/>
      <c r="BA61" s="152"/>
      <c r="BB61" s="152"/>
      <c r="BC61" s="152"/>
      <c r="BD61" s="152"/>
      <c r="BE61" s="152"/>
      <c r="BF61" s="152"/>
      <c r="BG61" s="152"/>
      <c r="BH61" s="152"/>
      <c r="BI61" s="152"/>
    </row>
    <row r="62" spans="3:174" ht="15.75" thickBot="1" x14ac:dyDescent="0.3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J62" s="58">
        <v>2016</v>
      </c>
      <c r="AK62" s="153" t="s">
        <v>47</v>
      </c>
      <c r="AL62" s="154"/>
      <c r="AM62" s="155" t="s">
        <v>48</v>
      </c>
      <c r="AN62" s="154"/>
      <c r="AO62" s="155" t="s">
        <v>49</v>
      </c>
      <c r="AP62" s="153"/>
      <c r="AQ62" s="153" t="s">
        <v>50</v>
      </c>
      <c r="AR62" s="153"/>
      <c r="AS62" s="153" t="s">
        <v>51</v>
      </c>
      <c r="AT62" s="154"/>
      <c r="AU62" s="155" t="s">
        <v>52</v>
      </c>
      <c r="AV62" s="156"/>
    </row>
    <row r="63" spans="3:174" ht="25.5" customHeight="1" thickBot="1" x14ac:dyDescent="0.3">
      <c r="C63" s="58">
        <v>2016</v>
      </c>
      <c r="D63" s="153" t="s">
        <v>47</v>
      </c>
      <c r="E63" s="154"/>
      <c r="F63" s="155" t="s">
        <v>48</v>
      </c>
      <c r="G63" s="154"/>
      <c r="H63" s="155" t="s">
        <v>49</v>
      </c>
      <c r="I63" s="153"/>
      <c r="J63" s="153" t="s">
        <v>50</v>
      </c>
      <c r="K63" s="153"/>
      <c r="L63" s="153" t="s">
        <v>51</v>
      </c>
      <c r="M63" s="154"/>
      <c r="N63" s="155" t="s">
        <v>52</v>
      </c>
      <c r="O63" s="156"/>
      <c r="AJ63" s="157" t="s">
        <v>282</v>
      </c>
      <c r="AK63" s="159" t="s">
        <v>54</v>
      </c>
      <c r="AL63" s="161" t="s">
        <v>55</v>
      </c>
      <c r="AM63" s="163" t="s">
        <v>56</v>
      </c>
      <c r="AN63" s="161" t="s">
        <v>57</v>
      </c>
      <c r="AO63" s="163" t="s">
        <v>58</v>
      </c>
      <c r="AP63" s="159" t="s">
        <v>59</v>
      </c>
      <c r="AQ63" s="159" t="s">
        <v>58</v>
      </c>
      <c r="AR63" s="159" t="s">
        <v>59</v>
      </c>
      <c r="AS63" s="159" t="s">
        <v>58</v>
      </c>
      <c r="AT63" s="161" t="s">
        <v>59</v>
      </c>
      <c r="AU63" s="163" t="s">
        <v>60</v>
      </c>
      <c r="AV63" s="165" t="s">
        <v>61</v>
      </c>
      <c r="BL63" s="58">
        <v>2016</v>
      </c>
      <c r="BM63" s="153" t="s">
        <v>47</v>
      </c>
      <c r="BN63" s="154"/>
      <c r="BO63" s="155" t="s">
        <v>48</v>
      </c>
      <c r="BP63" s="154"/>
      <c r="BQ63" s="155" t="s">
        <v>49</v>
      </c>
      <c r="BR63" s="153"/>
      <c r="BS63" s="153" t="s">
        <v>50</v>
      </c>
      <c r="BT63" s="153"/>
      <c r="BU63" s="153" t="s">
        <v>51</v>
      </c>
      <c r="BV63" s="154"/>
      <c r="BW63" s="155" t="s">
        <v>52</v>
      </c>
      <c r="BX63" s="156"/>
      <c r="CN63" s="58">
        <v>2016</v>
      </c>
      <c r="CO63" s="153" t="s">
        <v>47</v>
      </c>
      <c r="CP63" s="154"/>
      <c r="CQ63" s="155" t="s">
        <v>48</v>
      </c>
      <c r="CR63" s="154"/>
      <c r="CS63" s="155" t="s">
        <v>49</v>
      </c>
      <c r="CT63" s="153"/>
      <c r="CU63" s="153" t="s">
        <v>50</v>
      </c>
      <c r="CV63" s="153"/>
      <c r="CW63" s="153" t="s">
        <v>51</v>
      </c>
      <c r="CX63" s="154"/>
      <c r="CY63" s="155" t="s">
        <v>52</v>
      </c>
      <c r="CZ63" s="156"/>
      <c r="DB63" s="58">
        <v>2016</v>
      </c>
      <c r="DC63" s="153" t="s">
        <v>47</v>
      </c>
      <c r="DD63" s="154"/>
      <c r="DE63" s="155" t="s">
        <v>48</v>
      </c>
      <c r="DF63" s="154"/>
      <c r="DG63" s="155" t="s">
        <v>49</v>
      </c>
      <c r="DH63" s="153"/>
      <c r="DI63" s="153" t="s">
        <v>50</v>
      </c>
      <c r="DJ63" s="153"/>
      <c r="DK63" s="153" t="s">
        <v>51</v>
      </c>
      <c r="DL63" s="154"/>
      <c r="DM63" s="155" t="s">
        <v>52</v>
      </c>
      <c r="DN63" s="156"/>
      <c r="ED63" s="58">
        <v>2016</v>
      </c>
      <c r="EE63" s="153" t="s">
        <v>47</v>
      </c>
      <c r="EF63" s="154"/>
      <c r="EG63" s="155" t="s">
        <v>48</v>
      </c>
      <c r="EH63" s="154"/>
      <c r="EI63" s="155" t="s">
        <v>49</v>
      </c>
      <c r="EJ63" s="153"/>
      <c r="EK63" s="153" t="s">
        <v>50</v>
      </c>
      <c r="EL63" s="153"/>
      <c r="EM63" s="153" t="s">
        <v>51</v>
      </c>
      <c r="EN63" s="154"/>
      <c r="EO63" s="155" t="s">
        <v>52</v>
      </c>
      <c r="EP63" s="156"/>
      <c r="ER63" s="58">
        <v>2016</v>
      </c>
      <c r="ES63" s="153" t="s">
        <v>47</v>
      </c>
      <c r="ET63" s="154"/>
      <c r="EU63" s="155" t="s">
        <v>48</v>
      </c>
      <c r="EV63" s="154"/>
      <c r="EW63" s="155" t="s">
        <v>49</v>
      </c>
      <c r="EX63" s="153"/>
      <c r="EY63" s="153" t="s">
        <v>50</v>
      </c>
      <c r="EZ63" s="153"/>
      <c r="FA63" s="153" t="s">
        <v>51</v>
      </c>
      <c r="FB63" s="154"/>
      <c r="FC63" s="155" t="s">
        <v>52</v>
      </c>
      <c r="FD63" s="156"/>
      <c r="FF63" s="58">
        <v>2016</v>
      </c>
      <c r="FG63" s="153" t="s">
        <v>47</v>
      </c>
      <c r="FH63" s="154"/>
      <c r="FI63" s="155" t="s">
        <v>48</v>
      </c>
      <c r="FJ63" s="154"/>
      <c r="FK63" s="155" t="s">
        <v>49</v>
      </c>
      <c r="FL63" s="153"/>
      <c r="FM63" s="153" t="s">
        <v>50</v>
      </c>
      <c r="FN63" s="153"/>
      <c r="FO63" s="153" t="s">
        <v>51</v>
      </c>
      <c r="FP63" s="154"/>
      <c r="FQ63" s="155" t="s">
        <v>52</v>
      </c>
      <c r="FR63" s="156"/>
    </row>
    <row r="64" spans="3:174" ht="15.75" thickBot="1" x14ac:dyDescent="0.3">
      <c r="C64" s="157" t="s">
        <v>53</v>
      </c>
      <c r="D64" s="159" t="s">
        <v>54</v>
      </c>
      <c r="E64" s="161" t="s">
        <v>55</v>
      </c>
      <c r="F64" s="163" t="s">
        <v>56</v>
      </c>
      <c r="G64" s="161" t="s">
        <v>57</v>
      </c>
      <c r="H64" s="163" t="s">
        <v>58</v>
      </c>
      <c r="I64" s="159" t="s">
        <v>59</v>
      </c>
      <c r="J64" s="159" t="s">
        <v>58</v>
      </c>
      <c r="K64" s="159" t="s">
        <v>59</v>
      </c>
      <c r="L64" s="159" t="s">
        <v>58</v>
      </c>
      <c r="M64" s="161" t="s">
        <v>59</v>
      </c>
      <c r="N64" s="163" t="s">
        <v>60</v>
      </c>
      <c r="O64" s="165" t="s">
        <v>61</v>
      </c>
      <c r="AJ64" s="158"/>
      <c r="AK64" s="160"/>
      <c r="AL64" s="162"/>
      <c r="AM64" s="164"/>
      <c r="AN64" s="162"/>
      <c r="AO64" s="164"/>
      <c r="AP64" s="160"/>
      <c r="AQ64" s="160"/>
      <c r="AR64" s="160"/>
      <c r="AS64" s="160"/>
      <c r="AT64" s="162"/>
      <c r="AU64" s="164"/>
      <c r="AV64" s="166"/>
      <c r="AW64" s="58">
        <v>2016</v>
      </c>
      <c r="AX64" s="153" t="s">
        <v>47</v>
      </c>
      <c r="AY64" s="154"/>
      <c r="AZ64" s="155" t="s">
        <v>48</v>
      </c>
      <c r="BA64" s="154"/>
      <c r="BB64" s="155" t="s">
        <v>49</v>
      </c>
      <c r="BC64" s="153"/>
      <c r="BD64" s="153" t="s">
        <v>50</v>
      </c>
      <c r="BE64" s="153"/>
      <c r="BF64" s="153" t="s">
        <v>51</v>
      </c>
      <c r="BG64" s="154"/>
      <c r="BH64" s="155" t="s">
        <v>52</v>
      </c>
      <c r="BI64" s="156"/>
      <c r="BL64" s="157" t="s">
        <v>14</v>
      </c>
      <c r="BM64" s="159" t="s">
        <v>54</v>
      </c>
      <c r="BN64" s="161" t="s">
        <v>55</v>
      </c>
      <c r="BO64" s="163" t="s">
        <v>56</v>
      </c>
      <c r="BP64" s="161" t="s">
        <v>57</v>
      </c>
      <c r="BQ64" s="163" t="s">
        <v>58</v>
      </c>
      <c r="BR64" s="159" t="s">
        <v>59</v>
      </c>
      <c r="BS64" s="159" t="s">
        <v>58</v>
      </c>
      <c r="BT64" s="159" t="s">
        <v>59</v>
      </c>
      <c r="BU64" s="159" t="s">
        <v>58</v>
      </c>
      <c r="BV64" s="161" t="s">
        <v>59</v>
      </c>
      <c r="BW64" s="163" t="s">
        <v>60</v>
      </c>
      <c r="BX64" s="165" t="s">
        <v>61</v>
      </c>
      <c r="BZ64" s="58">
        <v>2016</v>
      </c>
      <c r="CA64" s="153" t="s">
        <v>47</v>
      </c>
      <c r="CB64" s="154"/>
      <c r="CC64" s="155" t="s">
        <v>48</v>
      </c>
      <c r="CD64" s="154"/>
      <c r="CE64" s="155" t="s">
        <v>49</v>
      </c>
      <c r="CF64" s="153"/>
      <c r="CG64" s="153" t="s">
        <v>50</v>
      </c>
      <c r="CH64" s="153"/>
      <c r="CI64" s="153" t="s">
        <v>51</v>
      </c>
      <c r="CJ64" s="154"/>
      <c r="CK64" s="155" t="s">
        <v>52</v>
      </c>
      <c r="CL64" s="156"/>
      <c r="CN64" s="157" t="s">
        <v>650</v>
      </c>
      <c r="CO64" s="159" t="s">
        <v>54</v>
      </c>
      <c r="CP64" s="161" t="s">
        <v>55</v>
      </c>
      <c r="CQ64" s="163" t="s">
        <v>56</v>
      </c>
      <c r="CR64" s="161" t="s">
        <v>57</v>
      </c>
      <c r="CS64" s="163" t="s">
        <v>58</v>
      </c>
      <c r="CT64" s="159" t="s">
        <v>59</v>
      </c>
      <c r="CU64" s="159" t="s">
        <v>58</v>
      </c>
      <c r="CV64" s="159" t="s">
        <v>59</v>
      </c>
      <c r="CW64" s="159" t="s">
        <v>58</v>
      </c>
      <c r="CX64" s="161" t="s">
        <v>59</v>
      </c>
      <c r="CY64" s="163" t="s">
        <v>60</v>
      </c>
      <c r="CZ64" s="165" t="s">
        <v>61</v>
      </c>
      <c r="DB64" s="157" t="s">
        <v>758</v>
      </c>
      <c r="DC64" s="159" t="s">
        <v>54</v>
      </c>
      <c r="DD64" s="161" t="s">
        <v>55</v>
      </c>
      <c r="DE64" s="163" t="s">
        <v>56</v>
      </c>
      <c r="DF64" s="161" t="s">
        <v>57</v>
      </c>
      <c r="DG64" s="163" t="s">
        <v>58</v>
      </c>
      <c r="DH64" s="159" t="s">
        <v>59</v>
      </c>
      <c r="DI64" s="159" t="s">
        <v>58</v>
      </c>
      <c r="DJ64" s="159" t="s">
        <v>59</v>
      </c>
      <c r="DK64" s="159" t="s">
        <v>58</v>
      </c>
      <c r="DL64" s="161" t="s">
        <v>59</v>
      </c>
      <c r="DM64" s="163" t="s">
        <v>60</v>
      </c>
      <c r="DN64" s="165" t="s">
        <v>61</v>
      </c>
      <c r="DP64" s="58">
        <v>2016</v>
      </c>
      <c r="DQ64" s="153" t="s">
        <v>47</v>
      </c>
      <c r="DR64" s="154"/>
      <c r="DS64" s="155" t="s">
        <v>48</v>
      </c>
      <c r="DT64" s="154"/>
      <c r="DU64" s="155" t="s">
        <v>49</v>
      </c>
      <c r="DV64" s="153"/>
      <c r="DW64" s="153" t="s">
        <v>50</v>
      </c>
      <c r="DX64" s="153"/>
      <c r="DY64" s="153" t="s">
        <v>51</v>
      </c>
      <c r="DZ64" s="154"/>
      <c r="EA64" s="155" t="s">
        <v>52</v>
      </c>
      <c r="EB64" s="156"/>
      <c r="ED64" s="157" t="s">
        <v>971</v>
      </c>
      <c r="EE64" s="159" t="s">
        <v>54</v>
      </c>
      <c r="EF64" s="161" t="s">
        <v>55</v>
      </c>
      <c r="EG64" s="163" t="s">
        <v>56</v>
      </c>
      <c r="EH64" s="161" t="s">
        <v>57</v>
      </c>
      <c r="EI64" s="163" t="s">
        <v>58</v>
      </c>
      <c r="EJ64" s="159" t="s">
        <v>59</v>
      </c>
      <c r="EK64" s="159" t="s">
        <v>58</v>
      </c>
      <c r="EL64" s="159" t="s">
        <v>59</v>
      </c>
      <c r="EM64" s="159" t="s">
        <v>58</v>
      </c>
      <c r="EN64" s="161" t="s">
        <v>59</v>
      </c>
      <c r="EO64" s="163" t="s">
        <v>60</v>
      </c>
      <c r="EP64" s="165" t="s">
        <v>61</v>
      </c>
      <c r="ER64" s="157" t="s">
        <v>1065</v>
      </c>
      <c r="ES64" s="159" t="s">
        <v>54</v>
      </c>
      <c r="ET64" s="161" t="s">
        <v>55</v>
      </c>
      <c r="EU64" s="163" t="s">
        <v>56</v>
      </c>
      <c r="EV64" s="161" t="s">
        <v>57</v>
      </c>
      <c r="EW64" s="163" t="s">
        <v>58</v>
      </c>
      <c r="EX64" s="159" t="s">
        <v>59</v>
      </c>
      <c r="EY64" s="159" t="s">
        <v>58</v>
      </c>
      <c r="EZ64" s="159" t="s">
        <v>59</v>
      </c>
      <c r="FA64" s="159" t="s">
        <v>58</v>
      </c>
      <c r="FB64" s="161" t="s">
        <v>59</v>
      </c>
      <c r="FC64" s="163" t="s">
        <v>60</v>
      </c>
      <c r="FD64" s="165" t="s">
        <v>61</v>
      </c>
      <c r="FF64" s="157" t="s">
        <v>1166</v>
      </c>
      <c r="FG64" s="159" t="s">
        <v>54</v>
      </c>
      <c r="FH64" s="161" t="s">
        <v>55</v>
      </c>
      <c r="FI64" s="163" t="s">
        <v>56</v>
      </c>
      <c r="FJ64" s="161" t="s">
        <v>57</v>
      </c>
      <c r="FK64" s="163" t="s">
        <v>58</v>
      </c>
      <c r="FL64" s="159" t="s">
        <v>59</v>
      </c>
      <c r="FM64" s="159" t="s">
        <v>58</v>
      </c>
      <c r="FN64" s="159" t="s">
        <v>59</v>
      </c>
      <c r="FO64" s="159" t="s">
        <v>58</v>
      </c>
      <c r="FP64" s="161" t="s">
        <v>59</v>
      </c>
      <c r="FQ64" s="163" t="s">
        <v>60</v>
      </c>
      <c r="FR64" s="165" t="s">
        <v>61</v>
      </c>
    </row>
    <row r="65" spans="1:174" ht="20.25" thickBot="1" x14ac:dyDescent="0.3">
      <c r="C65" s="158"/>
      <c r="D65" s="160"/>
      <c r="E65" s="162"/>
      <c r="F65" s="164"/>
      <c r="G65" s="162"/>
      <c r="H65" s="164"/>
      <c r="I65" s="160"/>
      <c r="J65" s="160"/>
      <c r="K65" s="160"/>
      <c r="L65" s="160"/>
      <c r="M65" s="162"/>
      <c r="N65" s="164"/>
      <c r="O65" s="166"/>
      <c r="Q65" s="58">
        <v>2016</v>
      </c>
      <c r="R65" s="96"/>
      <c r="S65" s="153" t="s">
        <v>47</v>
      </c>
      <c r="T65" s="154"/>
      <c r="U65" s="155" t="s">
        <v>48</v>
      </c>
      <c r="V65" s="154"/>
      <c r="W65" s="155" t="s">
        <v>49</v>
      </c>
      <c r="X65" s="153"/>
      <c r="Y65" s="153" t="s">
        <v>50</v>
      </c>
      <c r="Z65" s="153"/>
      <c r="AA65" s="153" t="s">
        <v>51</v>
      </c>
      <c r="AB65" s="154"/>
      <c r="AC65" s="155" t="s">
        <v>52</v>
      </c>
      <c r="AD65" s="153"/>
      <c r="AE65" s="153"/>
      <c r="AF65" s="153"/>
      <c r="AG65" s="153"/>
      <c r="AH65" s="156"/>
      <c r="AJ65" s="59">
        <v>1</v>
      </c>
      <c r="AK65" s="48" t="s">
        <v>283</v>
      </c>
      <c r="AL65" s="48" t="s">
        <v>284</v>
      </c>
      <c r="AM65" s="49">
        <v>0.47142361111111114</v>
      </c>
      <c r="AN65" s="48" t="s">
        <v>285</v>
      </c>
      <c r="AO65" s="50">
        <v>0.22847222222222222</v>
      </c>
      <c r="AP65" s="51">
        <v>0.82638888888888884</v>
      </c>
      <c r="AQ65" s="51">
        <v>0.25069444444444444</v>
      </c>
      <c r="AR65" s="51">
        <v>0.8041666666666667</v>
      </c>
      <c r="AS65" s="51">
        <v>0.27291666666666664</v>
      </c>
      <c r="AT65" s="51">
        <v>0.78194444444444444</v>
      </c>
      <c r="AU65" s="52" t="s">
        <v>286</v>
      </c>
      <c r="AV65" s="60">
        <v>92.125</v>
      </c>
      <c r="AW65" s="157" t="s">
        <v>381</v>
      </c>
      <c r="AX65" s="159" t="s">
        <v>54</v>
      </c>
      <c r="AY65" s="161" t="s">
        <v>55</v>
      </c>
      <c r="AZ65" s="163" t="s">
        <v>56</v>
      </c>
      <c r="BA65" s="161" t="s">
        <v>57</v>
      </c>
      <c r="BB65" s="163" t="s">
        <v>58</v>
      </c>
      <c r="BC65" s="159" t="s">
        <v>59</v>
      </c>
      <c r="BD65" s="159" t="s">
        <v>58</v>
      </c>
      <c r="BE65" s="159" t="s">
        <v>59</v>
      </c>
      <c r="BF65" s="159" t="s">
        <v>58</v>
      </c>
      <c r="BG65" s="161" t="s">
        <v>59</v>
      </c>
      <c r="BH65" s="163" t="s">
        <v>60</v>
      </c>
      <c r="BI65" s="165" t="s">
        <v>61</v>
      </c>
      <c r="BL65" s="158"/>
      <c r="BM65" s="160"/>
      <c r="BN65" s="162"/>
      <c r="BO65" s="164"/>
      <c r="BP65" s="162"/>
      <c r="BQ65" s="164"/>
      <c r="BR65" s="160"/>
      <c r="BS65" s="160"/>
      <c r="BT65" s="160"/>
      <c r="BU65" s="160"/>
      <c r="BV65" s="162"/>
      <c r="BW65" s="164"/>
      <c r="BX65" s="166"/>
      <c r="BZ65" s="157" t="s">
        <v>582</v>
      </c>
      <c r="CA65" s="159" t="s">
        <v>54</v>
      </c>
      <c r="CB65" s="161" t="s">
        <v>55</v>
      </c>
      <c r="CC65" s="163" t="s">
        <v>56</v>
      </c>
      <c r="CD65" s="161" t="s">
        <v>57</v>
      </c>
      <c r="CE65" s="163" t="s">
        <v>58</v>
      </c>
      <c r="CF65" s="159" t="s">
        <v>59</v>
      </c>
      <c r="CG65" s="159" t="s">
        <v>58</v>
      </c>
      <c r="CH65" s="159" t="s">
        <v>59</v>
      </c>
      <c r="CI65" s="159" t="s">
        <v>58</v>
      </c>
      <c r="CJ65" s="161" t="s">
        <v>59</v>
      </c>
      <c r="CK65" s="163" t="s">
        <v>60</v>
      </c>
      <c r="CL65" s="165" t="s">
        <v>61</v>
      </c>
      <c r="CN65" s="158"/>
      <c r="CO65" s="160"/>
      <c r="CP65" s="162"/>
      <c r="CQ65" s="164"/>
      <c r="CR65" s="162"/>
      <c r="CS65" s="164"/>
      <c r="CT65" s="160"/>
      <c r="CU65" s="160"/>
      <c r="CV65" s="160"/>
      <c r="CW65" s="160"/>
      <c r="CX65" s="162"/>
      <c r="CY65" s="164"/>
      <c r="CZ65" s="166"/>
      <c r="DB65" s="158"/>
      <c r="DC65" s="160"/>
      <c r="DD65" s="162"/>
      <c r="DE65" s="164"/>
      <c r="DF65" s="162"/>
      <c r="DG65" s="164"/>
      <c r="DH65" s="160"/>
      <c r="DI65" s="160"/>
      <c r="DJ65" s="160"/>
      <c r="DK65" s="160"/>
      <c r="DL65" s="162"/>
      <c r="DM65" s="164"/>
      <c r="DN65" s="166"/>
      <c r="DP65" s="157" t="s">
        <v>875</v>
      </c>
      <c r="DQ65" s="159" t="s">
        <v>54</v>
      </c>
      <c r="DR65" s="161" t="s">
        <v>55</v>
      </c>
      <c r="DS65" s="163" t="s">
        <v>56</v>
      </c>
      <c r="DT65" s="161" t="s">
        <v>57</v>
      </c>
      <c r="DU65" s="163" t="s">
        <v>58</v>
      </c>
      <c r="DV65" s="159" t="s">
        <v>59</v>
      </c>
      <c r="DW65" s="159" t="s">
        <v>58</v>
      </c>
      <c r="DX65" s="159" t="s">
        <v>59</v>
      </c>
      <c r="DY65" s="159" t="s">
        <v>58</v>
      </c>
      <c r="DZ65" s="161" t="s">
        <v>59</v>
      </c>
      <c r="EA65" s="163" t="s">
        <v>60</v>
      </c>
      <c r="EB65" s="165" t="s">
        <v>61</v>
      </c>
      <c r="ED65" s="158"/>
      <c r="EE65" s="160"/>
      <c r="EF65" s="162"/>
      <c r="EG65" s="164"/>
      <c r="EH65" s="162"/>
      <c r="EI65" s="164"/>
      <c r="EJ65" s="160"/>
      <c r="EK65" s="160"/>
      <c r="EL65" s="160"/>
      <c r="EM65" s="160"/>
      <c r="EN65" s="162"/>
      <c r="EO65" s="164"/>
      <c r="EP65" s="166"/>
      <c r="ER65" s="158"/>
      <c r="ES65" s="160"/>
      <c r="ET65" s="162"/>
      <c r="EU65" s="164"/>
      <c r="EV65" s="162"/>
      <c r="EW65" s="164"/>
      <c r="EX65" s="160"/>
      <c r="EY65" s="160"/>
      <c r="EZ65" s="160"/>
      <c r="FA65" s="160"/>
      <c r="FB65" s="162"/>
      <c r="FC65" s="164"/>
      <c r="FD65" s="166"/>
      <c r="FF65" s="158"/>
      <c r="FG65" s="160"/>
      <c r="FH65" s="162"/>
      <c r="FI65" s="164"/>
      <c r="FJ65" s="162"/>
      <c r="FK65" s="164"/>
      <c r="FL65" s="160"/>
      <c r="FM65" s="160"/>
      <c r="FN65" s="160"/>
      <c r="FO65" s="160"/>
      <c r="FP65" s="162"/>
      <c r="FQ65" s="164"/>
      <c r="FR65" s="166"/>
    </row>
    <row r="66" spans="1:174" ht="20.25" thickBot="1" x14ac:dyDescent="0.3">
      <c r="A66">
        <v>9</v>
      </c>
      <c r="B66">
        <v>18</v>
      </c>
      <c r="C66" s="59">
        <v>1</v>
      </c>
      <c r="D66" s="48" t="s">
        <v>62</v>
      </c>
      <c r="E66" s="48" t="s">
        <v>63</v>
      </c>
      <c r="F66" s="70">
        <v>0.38800925925925928</v>
      </c>
      <c r="G66" s="48" t="s">
        <v>64</v>
      </c>
      <c r="H66" s="50">
        <v>0.2590277777777778</v>
      </c>
      <c r="I66" s="51">
        <v>0.78333333333333333</v>
      </c>
      <c r="J66" s="51">
        <v>0.28194444444444444</v>
      </c>
      <c r="K66" s="51">
        <v>0.76041666666666663</v>
      </c>
      <c r="L66" s="51">
        <v>0.30555555555555552</v>
      </c>
      <c r="M66" s="51">
        <v>0.7368055555555556</v>
      </c>
      <c r="N66" s="52" t="s">
        <v>65</v>
      </c>
      <c r="O66" s="60">
        <v>91.403999999999996</v>
      </c>
      <c r="Q66" s="157" t="s">
        <v>171</v>
      </c>
      <c r="R66" s="46"/>
      <c r="S66" s="159" t="s">
        <v>54</v>
      </c>
      <c r="T66" s="161" t="s">
        <v>55</v>
      </c>
      <c r="U66" s="163" t="s">
        <v>56</v>
      </c>
      <c r="V66" s="161" t="s">
        <v>57</v>
      </c>
      <c r="W66" s="163" t="s">
        <v>58</v>
      </c>
      <c r="X66" s="159" t="s">
        <v>59</v>
      </c>
      <c r="Y66" s="159" t="s">
        <v>58</v>
      </c>
      <c r="Z66" s="159" t="s">
        <v>59</v>
      </c>
      <c r="AA66" s="159" t="s">
        <v>58</v>
      </c>
      <c r="AB66" s="161" t="s">
        <v>59</v>
      </c>
      <c r="AC66" s="163" t="s">
        <v>60</v>
      </c>
      <c r="AD66" s="47"/>
      <c r="AE66" s="47"/>
      <c r="AF66" s="47"/>
      <c r="AG66" s="47"/>
      <c r="AH66" s="165" t="s">
        <v>61</v>
      </c>
      <c r="AJ66" s="61">
        <v>2</v>
      </c>
      <c r="AK66" s="53" t="s">
        <v>287</v>
      </c>
      <c r="AL66" s="53" t="s">
        <v>288</v>
      </c>
      <c r="AM66" s="54">
        <v>0.47328703703703701</v>
      </c>
      <c r="AN66" s="53" t="s">
        <v>285</v>
      </c>
      <c r="AO66" s="55">
        <v>0.22777777777777777</v>
      </c>
      <c r="AP66" s="56">
        <v>0.82708333333333339</v>
      </c>
      <c r="AQ66" s="56">
        <v>0.24930555555555556</v>
      </c>
      <c r="AR66" s="56">
        <v>0.80486111111111114</v>
      </c>
      <c r="AS66" s="56">
        <v>0.27152777777777776</v>
      </c>
      <c r="AT66" s="56">
        <v>0.78333333333333333</v>
      </c>
      <c r="AU66" s="57" t="s">
        <v>289</v>
      </c>
      <c r="AV66" s="62">
        <v>92.149000000000001</v>
      </c>
      <c r="AW66" s="158"/>
      <c r="AX66" s="160"/>
      <c r="AY66" s="162"/>
      <c r="AZ66" s="164"/>
      <c r="BA66" s="162"/>
      <c r="BB66" s="164"/>
      <c r="BC66" s="160"/>
      <c r="BD66" s="160"/>
      <c r="BE66" s="160"/>
      <c r="BF66" s="160"/>
      <c r="BG66" s="162"/>
      <c r="BH66" s="164"/>
      <c r="BI66" s="166"/>
      <c r="BL66" s="59">
        <v>1</v>
      </c>
      <c r="BM66" s="48" t="s">
        <v>474</v>
      </c>
      <c r="BN66" s="48" t="s">
        <v>475</v>
      </c>
      <c r="BO66" s="49">
        <v>0.58268518518518519</v>
      </c>
      <c r="BP66" s="48" t="s">
        <v>193</v>
      </c>
      <c r="BQ66" s="50">
        <v>0.19375000000000001</v>
      </c>
      <c r="BR66" s="51">
        <v>0.92361111111111116</v>
      </c>
      <c r="BS66" s="51">
        <v>0.22152777777777777</v>
      </c>
      <c r="BT66" s="51">
        <v>0.89583333333333337</v>
      </c>
      <c r="BU66" s="51">
        <v>0.24652777777777779</v>
      </c>
      <c r="BV66" s="51">
        <v>0.87083333333333324</v>
      </c>
      <c r="BW66" s="52" t="s">
        <v>476</v>
      </c>
      <c r="BX66" s="60">
        <v>93.683000000000007</v>
      </c>
      <c r="BZ66" s="158"/>
      <c r="CA66" s="160"/>
      <c r="CB66" s="162"/>
      <c r="CC66" s="164"/>
      <c r="CD66" s="162"/>
      <c r="CE66" s="164"/>
      <c r="CF66" s="160"/>
      <c r="CG66" s="160"/>
      <c r="CH66" s="160"/>
      <c r="CI66" s="160"/>
      <c r="CJ66" s="162"/>
      <c r="CK66" s="164"/>
      <c r="CL66" s="166"/>
      <c r="CN66" s="59">
        <v>1</v>
      </c>
      <c r="CO66" s="48" t="s">
        <v>651</v>
      </c>
      <c r="CP66" s="48" t="s">
        <v>632</v>
      </c>
      <c r="CQ66" s="49">
        <v>0.62662037037037044</v>
      </c>
      <c r="CR66" s="48" t="s">
        <v>652</v>
      </c>
      <c r="CS66" s="50">
        <v>0.16250000000000001</v>
      </c>
      <c r="CT66" s="51">
        <v>0.96319444444444446</v>
      </c>
      <c r="CU66" s="51">
        <v>0.19722222222222222</v>
      </c>
      <c r="CV66" s="51">
        <v>0.9291666666666667</v>
      </c>
      <c r="CW66" s="51">
        <v>0.22708333333333333</v>
      </c>
      <c r="CX66" s="51">
        <v>0.89930555555555547</v>
      </c>
      <c r="CY66" s="52" t="s">
        <v>649</v>
      </c>
      <c r="CZ66" s="60">
        <v>94.510999999999996</v>
      </c>
      <c r="DB66" s="59">
        <v>1</v>
      </c>
      <c r="DC66" s="48" t="s">
        <v>759</v>
      </c>
      <c r="DD66" s="48" t="s">
        <v>760</v>
      </c>
      <c r="DE66" s="49">
        <v>0.59560185185185188</v>
      </c>
      <c r="DF66" s="48" t="s">
        <v>761</v>
      </c>
      <c r="DG66" s="50">
        <v>0.19027777777777777</v>
      </c>
      <c r="DH66" s="51">
        <v>0.93888888888888899</v>
      </c>
      <c r="DI66" s="51">
        <v>0.21944444444444444</v>
      </c>
      <c r="DJ66" s="51">
        <v>0.90972222222222221</v>
      </c>
      <c r="DK66" s="51">
        <v>0.24513888888888888</v>
      </c>
      <c r="DL66" s="51">
        <v>0.8833333333333333</v>
      </c>
      <c r="DM66" s="52" t="s">
        <v>762</v>
      </c>
      <c r="DN66" s="60">
        <v>94.34</v>
      </c>
      <c r="DP66" s="158"/>
      <c r="DQ66" s="160"/>
      <c r="DR66" s="162"/>
      <c r="DS66" s="164"/>
      <c r="DT66" s="162"/>
      <c r="DU66" s="164"/>
      <c r="DV66" s="160"/>
      <c r="DW66" s="160"/>
      <c r="DX66" s="160"/>
      <c r="DY66" s="160"/>
      <c r="DZ66" s="162"/>
      <c r="EA66" s="164"/>
      <c r="EB66" s="166"/>
      <c r="ED66" s="59">
        <v>1</v>
      </c>
      <c r="EE66" s="48" t="s">
        <v>972</v>
      </c>
      <c r="EF66" s="48" t="s">
        <v>973</v>
      </c>
      <c r="EG66" s="49">
        <v>0.48881944444444447</v>
      </c>
      <c r="EH66" s="48" t="s">
        <v>924</v>
      </c>
      <c r="EI66" s="50">
        <v>0.24513888888888888</v>
      </c>
      <c r="EJ66" s="51">
        <v>0.86041666666666661</v>
      </c>
      <c r="EK66" s="51">
        <v>0.2673611111111111</v>
      </c>
      <c r="EL66" s="51">
        <v>0.83819444444444446</v>
      </c>
      <c r="EM66" s="51">
        <v>0.28958333333333336</v>
      </c>
      <c r="EN66" s="51">
        <v>0.81597222222222221</v>
      </c>
      <c r="EO66" s="52" t="s">
        <v>974</v>
      </c>
      <c r="EP66" s="60">
        <v>93.043000000000006</v>
      </c>
      <c r="ER66" s="59">
        <v>1</v>
      </c>
      <c r="ES66" s="48" t="s">
        <v>1066</v>
      </c>
      <c r="ET66" s="48" t="s">
        <v>1067</v>
      </c>
      <c r="EU66" s="49">
        <v>0.43358796296296293</v>
      </c>
      <c r="EV66" s="48" t="s">
        <v>817</v>
      </c>
      <c r="EW66" s="50">
        <v>0.2673611111111111</v>
      </c>
      <c r="EX66" s="51">
        <v>0.82986111111111116</v>
      </c>
      <c r="EY66" s="51">
        <v>0.28958333333333336</v>
      </c>
      <c r="EZ66" s="51">
        <v>0.80763888888888891</v>
      </c>
      <c r="FA66" s="51">
        <v>0.3125</v>
      </c>
      <c r="FB66" s="51">
        <v>0.78541666666666676</v>
      </c>
      <c r="FC66" s="52" t="s">
        <v>1068</v>
      </c>
      <c r="FD66" s="60">
        <v>92.241</v>
      </c>
      <c r="FF66" s="59">
        <v>1</v>
      </c>
      <c r="FG66" s="48" t="s">
        <v>1167</v>
      </c>
      <c r="FH66" s="48" t="s">
        <v>1163</v>
      </c>
      <c r="FI66" s="49">
        <v>0.39414351851851853</v>
      </c>
      <c r="FJ66" s="48" t="s">
        <v>1168</v>
      </c>
      <c r="FK66" s="50">
        <v>0.24652777777777779</v>
      </c>
      <c r="FL66" s="51">
        <v>0.77638888888888891</v>
      </c>
      <c r="FM66" s="51">
        <v>0.26944444444444443</v>
      </c>
      <c r="FN66" s="51">
        <v>0.75347222222222221</v>
      </c>
      <c r="FO66" s="51">
        <v>0.29305555555555557</v>
      </c>
      <c r="FP66" s="51">
        <v>0.72916666666666663</v>
      </c>
      <c r="FQ66" s="52" t="s">
        <v>1169</v>
      </c>
      <c r="FR66" s="60">
        <v>91.65</v>
      </c>
    </row>
    <row r="67" spans="1:174" ht="20.25" thickBot="1" x14ac:dyDescent="0.3">
      <c r="A67">
        <v>9</v>
      </c>
      <c r="B67">
        <v>19</v>
      </c>
      <c r="C67" s="61">
        <v>2</v>
      </c>
      <c r="D67" s="53" t="s">
        <v>62</v>
      </c>
      <c r="E67" s="53" t="s">
        <v>66</v>
      </c>
      <c r="F67" s="71">
        <v>0.38853009259259258</v>
      </c>
      <c r="G67" s="53" t="s">
        <v>67</v>
      </c>
      <c r="H67" s="55">
        <v>0.2590277777777778</v>
      </c>
      <c r="I67" s="56">
        <v>0.78402777777777777</v>
      </c>
      <c r="J67" s="56">
        <v>0.28194444444444444</v>
      </c>
      <c r="K67" s="56">
        <v>0.76111111111111107</v>
      </c>
      <c r="L67" s="56">
        <v>0.30624999999999997</v>
      </c>
      <c r="M67" s="56">
        <v>0.73749999999999993</v>
      </c>
      <c r="N67" s="57" t="s">
        <v>68</v>
      </c>
      <c r="O67" s="62">
        <v>91.403999999999996</v>
      </c>
      <c r="Q67" s="158"/>
      <c r="R67" s="97"/>
      <c r="S67" s="160"/>
      <c r="T67" s="162"/>
      <c r="U67" s="164"/>
      <c r="V67" s="162"/>
      <c r="W67" s="164"/>
      <c r="X67" s="160"/>
      <c r="Y67" s="160"/>
      <c r="Z67" s="160"/>
      <c r="AA67" s="160"/>
      <c r="AB67" s="162"/>
      <c r="AC67" s="164"/>
      <c r="AD67" s="90"/>
      <c r="AE67" s="90"/>
      <c r="AF67" s="90"/>
      <c r="AG67" s="90"/>
      <c r="AH67" s="166"/>
      <c r="AJ67" s="59">
        <v>3</v>
      </c>
      <c r="AK67" s="48" t="s">
        <v>290</v>
      </c>
      <c r="AL67" s="48" t="s">
        <v>291</v>
      </c>
      <c r="AM67" s="49">
        <v>0.47515046296296298</v>
      </c>
      <c r="AN67" s="48" t="s">
        <v>285</v>
      </c>
      <c r="AO67" s="50">
        <v>0.22638888888888889</v>
      </c>
      <c r="AP67" s="51">
        <v>0.82777777777777783</v>
      </c>
      <c r="AQ67" s="51">
        <v>0.24861111111111112</v>
      </c>
      <c r="AR67" s="51">
        <v>0.80555555555555547</v>
      </c>
      <c r="AS67" s="51">
        <v>0.27083333333333331</v>
      </c>
      <c r="AT67" s="51">
        <v>0.78402777777777777</v>
      </c>
      <c r="AU67" s="52" t="s">
        <v>292</v>
      </c>
      <c r="AV67" s="60">
        <v>92.171999999999997</v>
      </c>
      <c r="AW67" s="59">
        <v>1</v>
      </c>
      <c r="AX67" s="48" t="s">
        <v>382</v>
      </c>
      <c r="AY67" s="48" t="s">
        <v>383</v>
      </c>
      <c r="AZ67" s="49">
        <v>0.52974537037037039</v>
      </c>
      <c r="BA67" s="48" t="s">
        <v>295</v>
      </c>
      <c r="BB67" s="50">
        <v>0.23333333333333331</v>
      </c>
      <c r="BC67" s="51">
        <v>0.89374999999999993</v>
      </c>
      <c r="BD67" s="51">
        <v>0.25625000000000003</v>
      </c>
      <c r="BE67" s="51">
        <v>0.87013888888888891</v>
      </c>
      <c r="BF67" s="51">
        <v>0.27916666666666667</v>
      </c>
      <c r="BG67" s="51">
        <v>0.84722222222222221</v>
      </c>
      <c r="BH67" s="52" t="s">
        <v>384</v>
      </c>
      <c r="BI67" s="60">
        <v>92.912999999999997</v>
      </c>
      <c r="BL67" s="61">
        <v>2</v>
      </c>
      <c r="BM67" s="53" t="s">
        <v>477</v>
      </c>
      <c r="BN67" s="53" t="s">
        <v>478</v>
      </c>
      <c r="BO67" s="54">
        <v>0.58428240740740744</v>
      </c>
      <c r="BP67" s="53" t="s">
        <v>189</v>
      </c>
      <c r="BQ67" s="55">
        <v>0.19305555555555554</v>
      </c>
      <c r="BR67" s="56">
        <v>0.9243055555555556</v>
      </c>
      <c r="BS67" s="56">
        <v>0.22013888888888888</v>
      </c>
      <c r="BT67" s="56">
        <v>0.89722222222222225</v>
      </c>
      <c r="BU67" s="56">
        <v>0.24583333333333335</v>
      </c>
      <c r="BV67" s="56">
        <v>0.87152777777777779</v>
      </c>
      <c r="BW67" s="57" t="s">
        <v>479</v>
      </c>
      <c r="BX67" s="62">
        <v>93.706999999999994</v>
      </c>
      <c r="BZ67" s="59">
        <v>1</v>
      </c>
      <c r="CA67" s="48" t="s">
        <v>583</v>
      </c>
      <c r="CB67" s="48" t="s">
        <v>584</v>
      </c>
      <c r="CC67" s="49">
        <v>0.6214467592592593</v>
      </c>
      <c r="CD67" s="48" t="s">
        <v>585</v>
      </c>
      <c r="CE67" s="50">
        <v>0.16388888888888889</v>
      </c>
      <c r="CF67" s="51">
        <v>0.95486111111111116</v>
      </c>
      <c r="CG67" s="51">
        <v>0.19722222222222222</v>
      </c>
      <c r="CH67" s="51">
        <v>0.92152777777777783</v>
      </c>
      <c r="CI67" s="51">
        <v>0.22569444444444445</v>
      </c>
      <c r="CJ67" s="51">
        <v>0.89236111111111116</v>
      </c>
      <c r="CK67" s="52" t="s">
        <v>586</v>
      </c>
      <c r="CL67" s="60">
        <v>94.277000000000001</v>
      </c>
      <c r="CN67" s="61">
        <v>2</v>
      </c>
      <c r="CO67" s="53" t="s">
        <v>651</v>
      </c>
      <c r="CP67" s="53" t="s">
        <v>632</v>
      </c>
      <c r="CQ67" s="54">
        <v>0.62614583333333329</v>
      </c>
      <c r="CR67" s="53" t="s">
        <v>653</v>
      </c>
      <c r="CS67" s="55">
        <v>0.16319444444444445</v>
      </c>
      <c r="CT67" s="56">
        <v>0.96319444444444446</v>
      </c>
      <c r="CU67" s="56">
        <v>0.19791666666666666</v>
      </c>
      <c r="CV67" s="56">
        <v>0.92847222222222225</v>
      </c>
      <c r="CW67" s="56">
        <v>0.22708333333333333</v>
      </c>
      <c r="CX67" s="56">
        <v>0.89930555555555547</v>
      </c>
      <c r="CY67" s="57" t="s">
        <v>654</v>
      </c>
      <c r="CZ67" s="62">
        <v>94.512</v>
      </c>
      <c r="DB67" s="61">
        <v>2</v>
      </c>
      <c r="DC67" s="53" t="s">
        <v>763</v>
      </c>
      <c r="DD67" s="53" t="s">
        <v>764</v>
      </c>
      <c r="DE67" s="54">
        <v>0.59416666666666662</v>
      </c>
      <c r="DF67" s="53" t="s">
        <v>765</v>
      </c>
      <c r="DG67" s="55">
        <v>0.19097222222222221</v>
      </c>
      <c r="DH67" s="56">
        <v>0.9375</v>
      </c>
      <c r="DI67" s="56">
        <v>0.22013888888888888</v>
      </c>
      <c r="DJ67" s="56">
        <v>0.90902777777777777</v>
      </c>
      <c r="DK67" s="56">
        <v>0.24652777777777779</v>
      </c>
      <c r="DL67" s="56">
        <v>0.88263888888888886</v>
      </c>
      <c r="DM67" s="57" t="s">
        <v>766</v>
      </c>
      <c r="DN67" s="62">
        <v>94.328000000000003</v>
      </c>
      <c r="DP67" s="59">
        <v>1</v>
      </c>
      <c r="DQ67" s="48" t="s">
        <v>876</v>
      </c>
      <c r="DR67" s="48" t="s">
        <v>877</v>
      </c>
      <c r="DS67" s="49">
        <v>0.54424768518518518</v>
      </c>
      <c r="DT67" s="48" t="s">
        <v>873</v>
      </c>
      <c r="DU67" s="50">
        <v>0.22083333333333333</v>
      </c>
      <c r="DV67" s="51">
        <v>0.89930555555555547</v>
      </c>
      <c r="DW67" s="51">
        <v>0.24513888888888888</v>
      </c>
      <c r="DX67" s="51">
        <v>0.875</v>
      </c>
      <c r="DY67" s="51">
        <v>0.26805555555555555</v>
      </c>
      <c r="DZ67" s="51">
        <v>0.85138888888888886</v>
      </c>
      <c r="EA67" s="52" t="s">
        <v>878</v>
      </c>
      <c r="EB67" s="60">
        <v>93.793999999999997</v>
      </c>
      <c r="ED67" s="61">
        <v>2</v>
      </c>
      <c r="EE67" s="53" t="s">
        <v>975</v>
      </c>
      <c r="EF67" s="53" t="s">
        <v>976</v>
      </c>
      <c r="EG67" s="54">
        <v>0.4869560185185185</v>
      </c>
      <c r="EH67" s="53" t="s">
        <v>924</v>
      </c>
      <c r="EI67" s="55">
        <v>0.24583333333333335</v>
      </c>
      <c r="EJ67" s="56">
        <v>0.85902777777777783</v>
      </c>
      <c r="EK67" s="56">
        <v>0.26805555555555555</v>
      </c>
      <c r="EL67" s="56">
        <v>0.83680555555555547</v>
      </c>
      <c r="EM67" s="56">
        <v>0.2902777777777778</v>
      </c>
      <c r="EN67" s="56">
        <v>0.81527777777777777</v>
      </c>
      <c r="EO67" s="57" t="s">
        <v>977</v>
      </c>
      <c r="EP67" s="62">
        <v>93.016999999999996</v>
      </c>
      <c r="ER67" s="61">
        <v>2</v>
      </c>
      <c r="ES67" s="53" t="s">
        <v>1069</v>
      </c>
      <c r="ET67" s="53" t="s">
        <v>1070</v>
      </c>
      <c r="EU67" s="54">
        <v>0.4319560185185185</v>
      </c>
      <c r="EV67" s="53" t="s">
        <v>813</v>
      </c>
      <c r="EW67" s="55">
        <v>0.26805555555555555</v>
      </c>
      <c r="EX67" s="56">
        <v>0.82916666666666661</v>
      </c>
      <c r="EY67" s="56">
        <v>0.2902777777777778</v>
      </c>
      <c r="EZ67" s="56">
        <v>0.80694444444444446</v>
      </c>
      <c r="FA67" s="56">
        <v>0.31319444444444444</v>
      </c>
      <c r="FB67" s="56">
        <v>0.78472222222222221</v>
      </c>
      <c r="FC67" s="57" t="s">
        <v>1071</v>
      </c>
      <c r="FD67" s="62">
        <v>92.216999999999999</v>
      </c>
      <c r="FF67" s="61">
        <v>2</v>
      </c>
      <c r="FG67" s="53" t="s">
        <v>1170</v>
      </c>
      <c r="FH67" s="53" t="s">
        <v>1163</v>
      </c>
      <c r="FI67" s="54">
        <v>0.39329861111111114</v>
      </c>
      <c r="FJ67" s="53" t="s">
        <v>1171</v>
      </c>
      <c r="FK67" s="55">
        <v>0.24722222222222223</v>
      </c>
      <c r="FL67" s="56">
        <v>0.77569444444444446</v>
      </c>
      <c r="FM67" s="56">
        <v>0.27013888888888887</v>
      </c>
      <c r="FN67" s="56">
        <v>0.75277777777777777</v>
      </c>
      <c r="FO67" s="56">
        <v>0.29375000000000001</v>
      </c>
      <c r="FP67" s="56">
        <v>0.72916666666666663</v>
      </c>
      <c r="FQ67" s="57" t="s">
        <v>1172</v>
      </c>
      <c r="FR67" s="62">
        <v>91.635000000000005</v>
      </c>
    </row>
    <row r="68" spans="1:174" ht="20.25" thickBot="1" x14ac:dyDescent="0.3">
      <c r="A68">
        <v>9</v>
      </c>
      <c r="B68">
        <v>20</v>
      </c>
      <c r="C68" s="59">
        <v>3</v>
      </c>
      <c r="D68" s="48" t="s">
        <v>62</v>
      </c>
      <c r="E68" s="48" t="s">
        <v>69</v>
      </c>
      <c r="F68" s="70">
        <v>0.38908564814814817</v>
      </c>
      <c r="G68" s="48" t="s">
        <v>70</v>
      </c>
      <c r="H68" s="50">
        <v>0.2590277777777778</v>
      </c>
      <c r="I68" s="51">
        <v>0.78472222222222221</v>
      </c>
      <c r="J68" s="51">
        <v>0.28194444444444444</v>
      </c>
      <c r="K68" s="51">
        <v>0.76180555555555562</v>
      </c>
      <c r="L68" s="51">
        <v>0.30624999999999997</v>
      </c>
      <c r="M68" s="51">
        <v>0.73749999999999993</v>
      </c>
      <c r="N68" s="52" t="s">
        <v>68</v>
      </c>
      <c r="O68" s="60">
        <v>91.403999999999996</v>
      </c>
      <c r="Q68" s="59">
        <v>1</v>
      </c>
      <c r="R68" s="59"/>
      <c r="S68" s="48" t="s">
        <v>172</v>
      </c>
      <c r="T68" s="48" t="s">
        <v>173</v>
      </c>
      <c r="U68" s="49">
        <v>0.42128472222222224</v>
      </c>
      <c r="V68" s="48" t="s">
        <v>174</v>
      </c>
      <c r="W68" s="50">
        <v>0.25277777777777777</v>
      </c>
      <c r="X68" s="51">
        <v>0.8041666666666667</v>
      </c>
      <c r="Y68" s="51">
        <v>0.27499999999999997</v>
      </c>
      <c r="Z68" s="51">
        <v>0.78194444444444444</v>
      </c>
      <c r="AA68" s="51">
        <v>0.29791666666666666</v>
      </c>
      <c r="AB68" s="51">
        <v>0.75902777777777775</v>
      </c>
      <c r="AC68" s="52" t="s">
        <v>175</v>
      </c>
      <c r="AD68" s="91"/>
      <c r="AE68" s="91"/>
      <c r="AF68" s="91"/>
      <c r="AG68" s="91"/>
      <c r="AH68" s="60">
        <v>91.593999999999994</v>
      </c>
      <c r="AJ68" s="61">
        <v>4</v>
      </c>
      <c r="AK68" s="53" t="s">
        <v>293</v>
      </c>
      <c r="AL68" s="53" t="s">
        <v>294</v>
      </c>
      <c r="AM68" s="54">
        <v>0.4770138888888889</v>
      </c>
      <c r="AN68" s="53" t="s">
        <v>295</v>
      </c>
      <c r="AO68" s="55">
        <v>0.22569444444444445</v>
      </c>
      <c r="AP68" s="56">
        <v>0.82847222222222217</v>
      </c>
      <c r="AQ68" s="56">
        <v>0.24722222222222223</v>
      </c>
      <c r="AR68" s="56">
        <v>0.80625000000000002</v>
      </c>
      <c r="AS68" s="56">
        <v>0.26944444444444443</v>
      </c>
      <c r="AT68" s="56">
        <v>0.78472222222222221</v>
      </c>
      <c r="AU68" s="57" t="s">
        <v>296</v>
      </c>
      <c r="AV68" s="62">
        <v>92.195999999999998</v>
      </c>
      <c r="AW68" s="61">
        <v>2</v>
      </c>
      <c r="AX68" s="53" t="s">
        <v>385</v>
      </c>
      <c r="AY68" s="53" t="s">
        <v>386</v>
      </c>
      <c r="AZ68" s="54">
        <v>0.53162037037037035</v>
      </c>
      <c r="BA68" s="53" t="s">
        <v>295</v>
      </c>
      <c r="BB68" s="55">
        <v>0.23194444444444443</v>
      </c>
      <c r="BC68" s="56">
        <v>0.89444444444444438</v>
      </c>
      <c r="BD68" s="56">
        <v>0.25555555555555559</v>
      </c>
      <c r="BE68" s="56">
        <v>0.87083333333333324</v>
      </c>
      <c r="BF68" s="56">
        <v>0.27777777777777779</v>
      </c>
      <c r="BG68" s="56">
        <v>0.84791666666666676</v>
      </c>
      <c r="BH68" s="57" t="s">
        <v>387</v>
      </c>
      <c r="BI68" s="62">
        <v>92.94</v>
      </c>
      <c r="BL68" s="59">
        <v>3</v>
      </c>
      <c r="BM68" s="48" t="s">
        <v>480</v>
      </c>
      <c r="BN68" s="48" t="s">
        <v>481</v>
      </c>
      <c r="BO68" s="49">
        <v>0.58585648148148151</v>
      </c>
      <c r="BP68" s="48" t="s">
        <v>185</v>
      </c>
      <c r="BQ68" s="50">
        <v>0.19166666666666665</v>
      </c>
      <c r="BR68" s="51">
        <v>0.92569444444444438</v>
      </c>
      <c r="BS68" s="51">
        <v>0.21944444444444444</v>
      </c>
      <c r="BT68" s="51">
        <v>0.8979166666666667</v>
      </c>
      <c r="BU68" s="51">
        <v>0.24444444444444446</v>
      </c>
      <c r="BV68" s="51">
        <v>0.87222222222222223</v>
      </c>
      <c r="BW68" s="52" t="s">
        <v>482</v>
      </c>
      <c r="BX68" s="60">
        <v>93.730999999999995</v>
      </c>
      <c r="BZ68" s="61">
        <v>2</v>
      </c>
      <c r="CA68" s="53" t="s">
        <v>587</v>
      </c>
      <c r="CB68" s="53" t="s">
        <v>584</v>
      </c>
      <c r="CC68" s="54">
        <v>0.62221064814814808</v>
      </c>
      <c r="CD68" s="53" t="s">
        <v>84</v>
      </c>
      <c r="CE68" s="55">
        <v>0.16319444444444445</v>
      </c>
      <c r="CF68" s="56">
        <v>0.9555555555555556</v>
      </c>
      <c r="CG68" s="56">
        <v>0.19652777777777777</v>
      </c>
      <c r="CH68" s="56">
        <v>0.92222222222222217</v>
      </c>
      <c r="CI68" s="56">
        <v>0.22569444444444445</v>
      </c>
      <c r="CJ68" s="56">
        <v>0.8930555555555556</v>
      </c>
      <c r="CK68" s="57" t="s">
        <v>588</v>
      </c>
      <c r="CL68" s="62">
        <v>94.290999999999997</v>
      </c>
      <c r="CN68" s="59">
        <v>3</v>
      </c>
      <c r="CO68" s="48" t="s">
        <v>655</v>
      </c>
      <c r="CP68" s="48" t="s">
        <v>632</v>
      </c>
      <c r="CQ68" s="49">
        <v>0.62562499999999999</v>
      </c>
      <c r="CR68" s="48" t="s">
        <v>656</v>
      </c>
      <c r="CS68" s="50">
        <v>0.16388888888888889</v>
      </c>
      <c r="CT68" s="51">
        <v>0.96250000000000002</v>
      </c>
      <c r="CU68" s="51">
        <v>0.1986111111111111</v>
      </c>
      <c r="CV68" s="51">
        <v>0.92847222222222225</v>
      </c>
      <c r="CW68" s="51">
        <v>0.22777777777777777</v>
      </c>
      <c r="CX68" s="51">
        <v>0.89930555555555547</v>
      </c>
      <c r="CY68" s="52" t="s">
        <v>657</v>
      </c>
      <c r="CZ68" s="60">
        <v>94.513000000000005</v>
      </c>
      <c r="DB68" s="59">
        <v>3</v>
      </c>
      <c r="DC68" s="48" t="s">
        <v>767</v>
      </c>
      <c r="DD68" s="48" t="s">
        <v>768</v>
      </c>
      <c r="DE68" s="49">
        <v>0.59269675925925924</v>
      </c>
      <c r="DF68" s="48" t="s">
        <v>769</v>
      </c>
      <c r="DG68" s="50">
        <v>0.19236111111111112</v>
      </c>
      <c r="DH68" s="51">
        <v>0.93611111111111101</v>
      </c>
      <c r="DI68" s="51">
        <v>0.22083333333333333</v>
      </c>
      <c r="DJ68" s="51">
        <v>0.90763888888888899</v>
      </c>
      <c r="DK68" s="51">
        <v>0.24722222222222223</v>
      </c>
      <c r="DL68" s="51">
        <v>0.88194444444444453</v>
      </c>
      <c r="DM68" s="52" t="s">
        <v>770</v>
      </c>
      <c r="DN68" s="60">
        <v>94.314999999999998</v>
      </c>
      <c r="DP68" s="61">
        <v>2</v>
      </c>
      <c r="DQ68" s="53" t="s">
        <v>879</v>
      </c>
      <c r="DR68" s="53" t="s">
        <v>880</v>
      </c>
      <c r="DS68" s="54">
        <v>0.54244212962962968</v>
      </c>
      <c r="DT68" s="53" t="s">
        <v>881</v>
      </c>
      <c r="DU68" s="55">
        <v>0.22152777777777777</v>
      </c>
      <c r="DV68" s="56">
        <v>0.8979166666666667</v>
      </c>
      <c r="DW68" s="56">
        <v>0.24583333333333335</v>
      </c>
      <c r="DX68" s="56">
        <v>0.87361111111111101</v>
      </c>
      <c r="DY68" s="56">
        <v>0.26874999999999999</v>
      </c>
      <c r="DZ68" s="56">
        <v>0.85069444444444453</v>
      </c>
      <c r="EA68" s="57" t="s">
        <v>882</v>
      </c>
      <c r="EB68" s="62">
        <v>93.772000000000006</v>
      </c>
      <c r="ED68" s="59">
        <v>3</v>
      </c>
      <c r="EE68" s="48" t="s">
        <v>978</v>
      </c>
      <c r="EF68" s="48" t="s">
        <v>979</v>
      </c>
      <c r="EG68" s="49">
        <v>0.48510416666666667</v>
      </c>
      <c r="EH68" s="48" t="s">
        <v>924</v>
      </c>
      <c r="EI68" s="50">
        <v>0.24652777777777779</v>
      </c>
      <c r="EJ68" s="51">
        <v>0.85833333333333339</v>
      </c>
      <c r="EK68" s="51">
        <v>0.26874999999999999</v>
      </c>
      <c r="EL68" s="51">
        <v>0.83611111111111114</v>
      </c>
      <c r="EM68" s="51">
        <v>0.29097222222222224</v>
      </c>
      <c r="EN68" s="51">
        <v>0.81388888888888899</v>
      </c>
      <c r="EO68" s="52" t="s">
        <v>980</v>
      </c>
      <c r="EP68" s="60">
        <v>92.99</v>
      </c>
      <c r="ER68" s="59">
        <v>3</v>
      </c>
      <c r="ES68" s="48" t="s">
        <v>1072</v>
      </c>
      <c r="ET68" s="48" t="s">
        <v>1073</v>
      </c>
      <c r="EU68" s="49">
        <v>0.43033564814814818</v>
      </c>
      <c r="EV68" s="48" t="s">
        <v>805</v>
      </c>
      <c r="EW68" s="50">
        <v>0.26874999999999999</v>
      </c>
      <c r="EX68" s="51">
        <v>0.82847222222222217</v>
      </c>
      <c r="EY68" s="51">
        <v>0.29097222222222224</v>
      </c>
      <c r="EZ68" s="51">
        <v>0.80625000000000002</v>
      </c>
      <c r="FA68" s="51">
        <v>0.31388888888888888</v>
      </c>
      <c r="FB68" s="51">
        <v>0.78402777777777777</v>
      </c>
      <c r="FC68" s="52" t="s">
        <v>1074</v>
      </c>
      <c r="FD68" s="60">
        <v>92.192999999999998</v>
      </c>
      <c r="FF68" s="59">
        <v>3</v>
      </c>
      <c r="FG68" s="48" t="s">
        <v>1173</v>
      </c>
      <c r="FH68" s="48" t="s">
        <v>1163</v>
      </c>
      <c r="FI68" s="49">
        <v>0.39250000000000002</v>
      </c>
      <c r="FJ68" s="48" t="s">
        <v>1174</v>
      </c>
      <c r="FK68" s="50">
        <v>0.24791666666666667</v>
      </c>
      <c r="FL68" s="51">
        <v>0.77569444444444446</v>
      </c>
      <c r="FM68" s="51">
        <v>0.27083333333333331</v>
      </c>
      <c r="FN68" s="51">
        <v>0.75277777777777777</v>
      </c>
      <c r="FO68" s="51">
        <v>0.29444444444444445</v>
      </c>
      <c r="FP68" s="51">
        <v>0.72916666666666663</v>
      </c>
      <c r="FQ68" s="52" t="s">
        <v>1175</v>
      </c>
      <c r="FR68" s="60">
        <v>91.620999999999995</v>
      </c>
    </row>
    <row r="69" spans="1:174" ht="20.25" thickBot="1" x14ac:dyDescent="0.3">
      <c r="A69">
        <v>9</v>
      </c>
      <c r="B69">
        <v>21</v>
      </c>
      <c r="C69" s="61">
        <v>4</v>
      </c>
      <c r="D69" s="53" t="s">
        <v>62</v>
      </c>
      <c r="E69" s="53" t="s">
        <v>71</v>
      </c>
      <c r="F69" s="71">
        <v>0.38968749999999996</v>
      </c>
      <c r="G69" s="53" t="s">
        <v>72</v>
      </c>
      <c r="H69" s="55">
        <v>0.2590277777777778</v>
      </c>
      <c r="I69" s="56">
        <v>0.78541666666666676</v>
      </c>
      <c r="J69" s="56">
        <v>0.28194444444444444</v>
      </c>
      <c r="K69" s="56">
        <v>0.76250000000000007</v>
      </c>
      <c r="L69" s="56">
        <v>0.30624999999999997</v>
      </c>
      <c r="M69" s="56">
        <v>0.73819444444444438</v>
      </c>
      <c r="N69" s="57" t="s">
        <v>73</v>
      </c>
      <c r="O69" s="62">
        <v>91.405000000000001</v>
      </c>
      <c r="Q69" s="61">
        <v>2</v>
      </c>
      <c r="R69" s="98"/>
      <c r="S69" s="53" t="s">
        <v>172</v>
      </c>
      <c r="T69" s="53" t="s">
        <v>176</v>
      </c>
      <c r="U69" s="54">
        <v>0.42281250000000004</v>
      </c>
      <c r="V69" s="53" t="s">
        <v>177</v>
      </c>
      <c r="W69" s="55">
        <v>0.25208333333333333</v>
      </c>
      <c r="X69" s="56">
        <v>0.80486111111111114</v>
      </c>
      <c r="Y69" s="56">
        <v>0.27430555555555552</v>
      </c>
      <c r="Z69" s="56">
        <v>0.78263888888888899</v>
      </c>
      <c r="AA69" s="56">
        <v>0.29722222222222222</v>
      </c>
      <c r="AB69" s="56">
        <v>0.7597222222222223</v>
      </c>
      <c r="AC69" s="57" t="s">
        <v>178</v>
      </c>
      <c r="AD69" s="92"/>
      <c r="AE69" s="92"/>
      <c r="AF69" s="92"/>
      <c r="AG69" s="92"/>
      <c r="AH69" s="62">
        <v>91.608000000000004</v>
      </c>
      <c r="AJ69" s="59">
        <v>5</v>
      </c>
      <c r="AK69" s="48" t="s">
        <v>297</v>
      </c>
      <c r="AL69" s="48" t="s">
        <v>298</v>
      </c>
      <c r="AM69" s="49">
        <v>0.47888888888888892</v>
      </c>
      <c r="AN69" s="48" t="s">
        <v>295</v>
      </c>
      <c r="AO69" s="50">
        <v>0.22430555555555556</v>
      </c>
      <c r="AP69" s="51">
        <v>0.82916666666666661</v>
      </c>
      <c r="AQ69" s="51">
        <v>0.24652777777777779</v>
      </c>
      <c r="AR69" s="51">
        <v>0.80763888888888891</v>
      </c>
      <c r="AS69" s="51">
        <v>0.26874999999999999</v>
      </c>
      <c r="AT69" s="51">
        <v>0.78541666666666676</v>
      </c>
      <c r="AU69" s="52" t="s">
        <v>299</v>
      </c>
      <c r="AV69" s="60">
        <v>92.22</v>
      </c>
      <c r="AW69" s="59">
        <v>3</v>
      </c>
      <c r="AX69" s="48" t="s">
        <v>388</v>
      </c>
      <c r="AY69" s="48" t="s">
        <v>389</v>
      </c>
      <c r="AZ69" s="49">
        <v>0.53347222222222224</v>
      </c>
      <c r="BA69" s="48" t="s">
        <v>285</v>
      </c>
      <c r="BB69" s="50">
        <v>0.23055555555555554</v>
      </c>
      <c r="BC69" s="51">
        <v>0.89583333333333337</v>
      </c>
      <c r="BD69" s="51">
        <v>0.25416666666666665</v>
      </c>
      <c r="BE69" s="51">
        <v>0.87152777777777779</v>
      </c>
      <c r="BF69" s="51">
        <v>0.27708333333333335</v>
      </c>
      <c r="BG69" s="51">
        <v>0.84861111111111109</v>
      </c>
      <c r="BH69" s="52" t="s">
        <v>390</v>
      </c>
      <c r="BI69" s="60">
        <v>92.966999999999999</v>
      </c>
      <c r="BL69" s="61">
        <v>4</v>
      </c>
      <c r="BM69" s="53" t="s">
        <v>483</v>
      </c>
      <c r="BN69" s="53" t="s">
        <v>484</v>
      </c>
      <c r="BO69" s="54">
        <v>0.58741898148148153</v>
      </c>
      <c r="BP69" s="53" t="s">
        <v>181</v>
      </c>
      <c r="BQ69" s="55">
        <v>0.19027777777777777</v>
      </c>
      <c r="BR69" s="56">
        <v>0.92708333333333337</v>
      </c>
      <c r="BS69" s="56">
        <v>0.21805555555555556</v>
      </c>
      <c r="BT69" s="56">
        <v>0.89861111111111114</v>
      </c>
      <c r="BU69" s="56">
        <v>0.24374999999999999</v>
      </c>
      <c r="BV69" s="56">
        <v>0.87291666666666667</v>
      </c>
      <c r="BW69" s="57" t="s">
        <v>485</v>
      </c>
      <c r="BX69" s="62">
        <v>93.754000000000005</v>
      </c>
      <c r="BZ69" s="59">
        <v>3</v>
      </c>
      <c r="CA69" s="48" t="s">
        <v>587</v>
      </c>
      <c r="CB69" s="48" t="s">
        <v>589</v>
      </c>
      <c r="CC69" s="49">
        <v>0.62293981481481475</v>
      </c>
      <c r="CD69" s="48" t="s">
        <v>81</v>
      </c>
      <c r="CE69" s="50">
        <v>0.16250000000000001</v>
      </c>
      <c r="CF69" s="51">
        <v>0.95624999999999993</v>
      </c>
      <c r="CG69" s="51">
        <v>0.19652777777777777</v>
      </c>
      <c r="CH69" s="51">
        <v>0.92291666666666661</v>
      </c>
      <c r="CI69" s="51">
        <v>0.22500000000000001</v>
      </c>
      <c r="CJ69" s="51">
        <v>0.89374999999999993</v>
      </c>
      <c r="CK69" s="52" t="s">
        <v>590</v>
      </c>
      <c r="CL69" s="60">
        <v>94.305000000000007</v>
      </c>
      <c r="CN69" s="61">
        <v>4</v>
      </c>
      <c r="CO69" s="53" t="s">
        <v>655</v>
      </c>
      <c r="CP69" s="53" t="s">
        <v>632</v>
      </c>
      <c r="CQ69" s="54">
        <v>0.62505787037037031</v>
      </c>
      <c r="CR69" s="53" t="s">
        <v>658</v>
      </c>
      <c r="CS69" s="55">
        <v>0.16458333333333333</v>
      </c>
      <c r="CT69" s="56">
        <v>0.96250000000000002</v>
      </c>
      <c r="CU69" s="56">
        <v>0.1986111111111111</v>
      </c>
      <c r="CV69" s="56">
        <v>0.92847222222222225</v>
      </c>
      <c r="CW69" s="56">
        <v>0.22777777777777777</v>
      </c>
      <c r="CX69" s="56">
        <v>0.89930555555555547</v>
      </c>
      <c r="CY69" s="57" t="s">
        <v>659</v>
      </c>
      <c r="CZ69" s="62">
        <v>94.513000000000005</v>
      </c>
      <c r="DB69" s="61">
        <v>4</v>
      </c>
      <c r="DC69" s="53" t="s">
        <v>771</v>
      </c>
      <c r="DD69" s="53" t="s">
        <v>772</v>
      </c>
      <c r="DE69" s="54">
        <v>0.59121527777777783</v>
      </c>
      <c r="DF69" s="53" t="s">
        <v>773</v>
      </c>
      <c r="DG69" s="55">
        <v>0.19305555555555554</v>
      </c>
      <c r="DH69" s="56">
        <v>0.93541666666666667</v>
      </c>
      <c r="DI69" s="56">
        <v>0.22152777777777777</v>
      </c>
      <c r="DJ69" s="56">
        <v>0.90694444444444444</v>
      </c>
      <c r="DK69" s="56">
        <v>0.24791666666666667</v>
      </c>
      <c r="DL69" s="56">
        <v>0.88124999999999998</v>
      </c>
      <c r="DM69" s="57" t="s">
        <v>774</v>
      </c>
      <c r="DN69" s="62">
        <v>94.302000000000007</v>
      </c>
      <c r="DP69" s="59">
        <v>3</v>
      </c>
      <c r="DQ69" s="48" t="s">
        <v>883</v>
      </c>
      <c r="DR69" s="48" t="s">
        <v>884</v>
      </c>
      <c r="DS69" s="49">
        <v>0.54062500000000002</v>
      </c>
      <c r="DT69" s="48" t="s">
        <v>881</v>
      </c>
      <c r="DU69" s="50">
        <v>0.22222222222222221</v>
      </c>
      <c r="DV69" s="51">
        <v>0.8965277777777777</v>
      </c>
      <c r="DW69" s="51">
        <v>0.24652777777777779</v>
      </c>
      <c r="DX69" s="51">
        <v>0.87222222222222223</v>
      </c>
      <c r="DY69" s="51">
        <v>0.27013888888888887</v>
      </c>
      <c r="DZ69" s="51">
        <v>0.84930555555555554</v>
      </c>
      <c r="EA69" s="52" t="s">
        <v>885</v>
      </c>
      <c r="EB69" s="60">
        <v>93.748999999999995</v>
      </c>
      <c r="ED69" s="61">
        <v>4</v>
      </c>
      <c r="EE69" s="53" t="s">
        <v>981</v>
      </c>
      <c r="EF69" s="53" t="s">
        <v>982</v>
      </c>
      <c r="EG69" s="54">
        <v>0.48325231481481484</v>
      </c>
      <c r="EH69" s="53" t="s">
        <v>911</v>
      </c>
      <c r="EI69" s="55">
        <v>0.24722222222222223</v>
      </c>
      <c r="EJ69" s="56">
        <v>0.8569444444444444</v>
      </c>
      <c r="EK69" s="56">
        <v>0.26944444444444443</v>
      </c>
      <c r="EL69" s="56">
        <v>0.83472222222222225</v>
      </c>
      <c r="EM69" s="56">
        <v>0.29166666666666669</v>
      </c>
      <c r="EN69" s="56">
        <v>0.8125</v>
      </c>
      <c r="EO69" s="57" t="s">
        <v>983</v>
      </c>
      <c r="EP69" s="62">
        <v>92.962999999999994</v>
      </c>
      <c r="ER69" s="61">
        <v>4</v>
      </c>
      <c r="ES69" s="53" t="s">
        <v>1075</v>
      </c>
      <c r="ET69" s="53" t="s">
        <v>1076</v>
      </c>
      <c r="EU69" s="54">
        <v>0.42872685185185189</v>
      </c>
      <c r="EV69" s="53" t="s">
        <v>801</v>
      </c>
      <c r="EW69" s="55">
        <v>0.26944444444444443</v>
      </c>
      <c r="EX69" s="56">
        <v>0.82777777777777783</v>
      </c>
      <c r="EY69" s="56">
        <v>0.29236111111111113</v>
      </c>
      <c r="EZ69" s="56">
        <v>0.80555555555555547</v>
      </c>
      <c r="FA69" s="56">
        <v>0.31458333333333333</v>
      </c>
      <c r="FB69" s="56">
        <v>0.78333333333333333</v>
      </c>
      <c r="FC69" s="57" t="s">
        <v>1077</v>
      </c>
      <c r="FD69" s="62">
        <v>92.168999999999997</v>
      </c>
      <c r="FF69" s="61">
        <v>4</v>
      </c>
      <c r="FG69" s="53" t="s">
        <v>1176</v>
      </c>
      <c r="FH69" s="53" t="s">
        <v>1163</v>
      </c>
      <c r="FI69" s="54">
        <v>0.39173611111111112</v>
      </c>
      <c r="FJ69" s="53" t="s">
        <v>1177</v>
      </c>
      <c r="FK69" s="55">
        <v>0.24861111111111112</v>
      </c>
      <c r="FL69" s="56">
        <v>0.77569444444444446</v>
      </c>
      <c r="FM69" s="56">
        <v>0.27152777777777776</v>
      </c>
      <c r="FN69" s="56">
        <v>0.75277777777777777</v>
      </c>
      <c r="FO69" s="56">
        <v>0.2951388888888889</v>
      </c>
      <c r="FP69" s="56">
        <v>0.72916666666666663</v>
      </c>
      <c r="FQ69" s="57" t="s">
        <v>1178</v>
      </c>
      <c r="FR69" s="62">
        <v>91.606999999999999</v>
      </c>
    </row>
    <row r="70" spans="1:174" ht="20.25" thickBot="1" x14ac:dyDescent="0.3">
      <c r="A70">
        <v>9</v>
      </c>
      <c r="B70">
        <v>22</v>
      </c>
      <c r="C70" s="59">
        <v>5</v>
      </c>
      <c r="D70" s="48" t="s">
        <v>62</v>
      </c>
      <c r="E70" s="48" t="s">
        <v>71</v>
      </c>
      <c r="F70" s="70">
        <v>0.39033564814814814</v>
      </c>
      <c r="G70" s="48" t="s">
        <v>74</v>
      </c>
      <c r="H70" s="50">
        <v>0.2590277777777778</v>
      </c>
      <c r="I70" s="51">
        <v>0.78611111111111109</v>
      </c>
      <c r="J70" s="51">
        <v>0.28194444444444444</v>
      </c>
      <c r="K70" s="51">
        <v>0.76250000000000007</v>
      </c>
      <c r="L70" s="51">
        <v>0.30624999999999997</v>
      </c>
      <c r="M70" s="51">
        <v>0.73888888888888893</v>
      </c>
      <c r="N70" s="52" t="s">
        <v>75</v>
      </c>
      <c r="O70" s="60">
        <v>91.406000000000006</v>
      </c>
      <c r="Q70" s="59">
        <v>3</v>
      </c>
      <c r="R70" s="59"/>
      <c r="S70" s="48" t="s">
        <v>179</v>
      </c>
      <c r="T70" s="48" t="s">
        <v>180</v>
      </c>
      <c r="U70" s="49">
        <v>0.424375</v>
      </c>
      <c r="V70" s="48" t="s">
        <v>181</v>
      </c>
      <c r="W70" s="50">
        <v>0.25138888888888888</v>
      </c>
      <c r="X70" s="51">
        <v>0.80555555555555547</v>
      </c>
      <c r="Y70" s="51">
        <v>0.27361111111111108</v>
      </c>
      <c r="Z70" s="51">
        <v>0.78333333333333333</v>
      </c>
      <c r="AA70" s="51">
        <v>0.29652777777777778</v>
      </c>
      <c r="AB70" s="51">
        <v>0.76041666666666663</v>
      </c>
      <c r="AC70" s="52" t="s">
        <v>182</v>
      </c>
      <c r="AD70" s="91"/>
      <c r="AE70" s="91"/>
      <c r="AF70" s="91"/>
      <c r="AG70" s="91"/>
      <c r="AH70" s="60">
        <v>91.622</v>
      </c>
      <c r="AJ70" s="61">
        <v>6</v>
      </c>
      <c r="AK70" s="53" t="s">
        <v>300</v>
      </c>
      <c r="AL70" s="53" t="s">
        <v>301</v>
      </c>
      <c r="AM70" s="54">
        <v>0.48075231481481479</v>
      </c>
      <c r="AN70" s="53" t="s">
        <v>295</v>
      </c>
      <c r="AO70" s="55">
        <v>0.22291666666666665</v>
      </c>
      <c r="AP70" s="56">
        <v>0.8305555555555556</v>
      </c>
      <c r="AQ70" s="56">
        <v>0.24513888888888888</v>
      </c>
      <c r="AR70" s="56">
        <v>0.80833333333333324</v>
      </c>
      <c r="AS70" s="56">
        <v>0.2673611111111111</v>
      </c>
      <c r="AT70" s="56">
        <v>0.78611111111111109</v>
      </c>
      <c r="AU70" s="57" t="s">
        <v>302</v>
      </c>
      <c r="AV70" s="62">
        <v>92.244</v>
      </c>
      <c r="AW70" s="61">
        <v>4</v>
      </c>
      <c r="AX70" s="53" t="s">
        <v>391</v>
      </c>
      <c r="AY70" s="53" t="s">
        <v>392</v>
      </c>
      <c r="AZ70" s="54">
        <v>0.53533564814814816</v>
      </c>
      <c r="BA70" s="53" t="s">
        <v>285</v>
      </c>
      <c r="BB70" s="55">
        <v>0.22916666666666666</v>
      </c>
      <c r="BC70" s="56">
        <v>0.8965277777777777</v>
      </c>
      <c r="BD70" s="56">
        <v>0.25277777777777777</v>
      </c>
      <c r="BE70" s="56">
        <v>0.87291666666666667</v>
      </c>
      <c r="BF70" s="56">
        <v>0.27569444444444446</v>
      </c>
      <c r="BG70" s="56">
        <v>0.84930555555555554</v>
      </c>
      <c r="BH70" s="57" t="s">
        <v>393</v>
      </c>
      <c r="BI70" s="62">
        <v>92.995000000000005</v>
      </c>
      <c r="BL70" s="59">
        <v>5</v>
      </c>
      <c r="BM70" s="48" t="s">
        <v>486</v>
      </c>
      <c r="BN70" s="48" t="s">
        <v>487</v>
      </c>
      <c r="BO70" s="49">
        <v>0.58895833333333336</v>
      </c>
      <c r="BP70" s="48" t="s">
        <v>488</v>
      </c>
      <c r="BQ70" s="50">
        <v>0.18888888888888888</v>
      </c>
      <c r="BR70" s="51">
        <v>0.9277777777777777</v>
      </c>
      <c r="BS70" s="51">
        <v>0.21736111111111112</v>
      </c>
      <c r="BT70" s="51">
        <v>0.9</v>
      </c>
      <c r="BU70" s="51">
        <v>0.24305555555555555</v>
      </c>
      <c r="BV70" s="51">
        <v>0.87361111111111101</v>
      </c>
      <c r="BW70" s="52" t="s">
        <v>489</v>
      </c>
      <c r="BX70" s="60">
        <v>93.777000000000001</v>
      </c>
      <c r="BZ70" s="61">
        <v>4</v>
      </c>
      <c r="CA70" s="53" t="s">
        <v>587</v>
      </c>
      <c r="CB70" s="53" t="s">
        <v>591</v>
      </c>
      <c r="CC70" s="54">
        <v>0.6236342592592593</v>
      </c>
      <c r="CD70" s="53" t="s">
        <v>77</v>
      </c>
      <c r="CE70" s="55">
        <v>0.16180555555555556</v>
      </c>
      <c r="CF70" s="56">
        <v>0.95694444444444438</v>
      </c>
      <c r="CG70" s="56">
        <v>0.19583333333333333</v>
      </c>
      <c r="CH70" s="56">
        <v>0.92361111111111116</v>
      </c>
      <c r="CI70" s="56">
        <v>0.22500000000000001</v>
      </c>
      <c r="CJ70" s="56">
        <v>0.89444444444444438</v>
      </c>
      <c r="CK70" s="57" t="s">
        <v>592</v>
      </c>
      <c r="CL70" s="62">
        <v>94.317999999999998</v>
      </c>
      <c r="CN70" s="59">
        <v>5</v>
      </c>
      <c r="CO70" s="48" t="s">
        <v>660</v>
      </c>
      <c r="CP70" s="48" t="s">
        <v>661</v>
      </c>
      <c r="CQ70" s="49">
        <v>0.62445601851851851</v>
      </c>
      <c r="CR70" s="48" t="s">
        <v>662</v>
      </c>
      <c r="CS70" s="50">
        <v>0.16527777777777777</v>
      </c>
      <c r="CT70" s="51">
        <v>0.96180555555555547</v>
      </c>
      <c r="CU70" s="51">
        <v>0.19930555555555554</v>
      </c>
      <c r="CV70" s="51">
        <v>0.9277777777777777</v>
      </c>
      <c r="CW70" s="51">
        <v>0.22847222222222222</v>
      </c>
      <c r="CX70" s="51">
        <v>0.89861111111111114</v>
      </c>
      <c r="CY70" s="52" t="s">
        <v>663</v>
      </c>
      <c r="CZ70" s="60">
        <v>94.513000000000005</v>
      </c>
      <c r="DB70" s="59">
        <v>5</v>
      </c>
      <c r="DC70" s="48" t="s">
        <v>775</v>
      </c>
      <c r="DD70" s="48" t="s">
        <v>776</v>
      </c>
      <c r="DE70" s="49">
        <v>0.58972222222222215</v>
      </c>
      <c r="DF70" s="48" t="s">
        <v>777</v>
      </c>
      <c r="DG70" s="50">
        <v>0.19444444444444445</v>
      </c>
      <c r="DH70" s="51">
        <v>0.93402777777777779</v>
      </c>
      <c r="DI70" s="51">
        <v>0.22222222222222221</v>
      </c>
      <c r="DJ70" s="51">
        <v>0.90625</v>
      </c>
      <c r="DK70" s="51">
        <v>0.24861111111111112</v>
      </c>
      <c r="DL70" s="51">
        <v>0.87986111111111109</v>
      </c>
      <c r="DM70" s="52" t="s">
        <v>778</v>
      </c>
      <c r="DN70" s="60">
        <v>94.287999999999997</v>
      </c>
      <c r="DP70" s="61">
        <v>4</v>
      </c>
      <c r="DQ70" s="53" t="s">
        <v>886</v>
      </c>
      <c r="DR70" s="53" t="s">
        <v>887</v>
      </c>
      <c r="DS70" s="54">
        <v>0.53880787037037037</v>
      </c>
      <c r="DT70" s="53" t="s">
        <v>888</v>
      </c>
      <c r="DU70" s="55">
        <v>0.22361111111111109</v>
      </c>
      <c r="DV70" s="56">
        <v>0.89513888888888893</v>
      </c>
      <c r="DW70" s="56">
        <v>0.24722222222222223</v>
      </c>
      <c r="DX70" s="56">
        <v>0.87083333333333324</v>
      </c>
      <c r="DY70" s="56">
        <v>0.27083333333333331</v>
      </c>
      <c r="DZ70" s="56">
        <v>0.84791666666666676</v>
      </c>
      <c r="EA70" s="57" t="s">
        <v>889</v>
      </c>
      <c r="EB70" s="62">
        <v>93.725999999999999</v>
      </c>
      <c r="ED70" s="59">
        <v>5</v>
      </c>
      <c r="EE70" s="48" t="s">
        <v>984</v>
      </c>
      <c r="EF70" s="48" t="s">
        <v>985</v>
      </c>
      <c r="EG70" s="49">
        <v>0.48140046296296296</v>
      </c>
      <c r="EH70" s="48" t="s">
        <v>911</v>
      </c>
      <c r="EI70" s="50">
        <v>0.24791666666666667</v>
      </c>
      <c r="EJ70" s="51">
        <v>0.85555555555555562</v>
      </c>
      <c r="EK70" s="51">
        <v>0.27013888888888887</v>
      </c>
      <c r="EL70" s="51">
        <v>0.8340277777777777</v>
      </c>
      <c r="EM70" s="51">
        <v>0.29236111111111113</v>
      </c>
      <c r="EN70" s="51">
        <v>0.81180555555555556</v>
      </c>
      <c r="EO70" s="52" t="s">
        <v>986</v>
      </c>
      <c r="EP70" s="60">
        <v>92.936000000000007</v>
      </c>
      <c r="ER70" s="59">
        <v>5</v>
      </c>
      <c r="ES70" s="48" t="s">
        <v>1078</v>
      </c>
      <c r="ET70" s="48" t="s">
        <v>1079</v>
      </c>
      <c r="EU70" s="49">
        <v>0.42714120370370368</v>
      </c>
      <c r="EV70" s="48" t="s">
        <v>1080</v>
      </c>
      <c r="EW70" s="50">
        <v>0.27083333333333331</v>
      </c>
      <c r="EX70" s="51">
        <v>0.82708333333333339</v>
      </c>
      <c r="EY70" s="51">
        <v>0.29305555555555557</v>
      </c>
      <c r="EZ70" s="51">
        <v>0.80486111111111114</v>
      </c>
      <c r="FA70" s="51">
        <v>0.31527777777777777</v>
      </c>
      <c r="FB70" s="51">
        <v>0.78263888888888899</v>
      </c>
      <c r="FC70" s="52" t="s">
        <v>1081</v>
      </c>
      <c r="FD70" s="60">
        <v>92.144999999999996</v>
      </c>
      <c r="FF70" s="59">
        <v>5</v>
      </c>
      <c r="FG70" s="48" t="s">
        <v>1179</v>
      </c>
      <c r="FH70" s="48" t="s">
        <v>1180</v>
      </c>
      <c r="FI70" s="49">
        <v>0.39100694444444445</v>
      </c>
      <c r="FJ70" s="48" t="s">
        <v>1181</v>
      </c>
      <c r="FK70" s="50">
        <v>0.24861111111111112</v>
      </c>
      <c r="FL70" s="51">
        <v>0.77569444444444446</v>
      </c>
      <c r="FM70" s="51">
        <v>0.2722222222222222</v>
      </c>
      <c r="FN70" s="51">
        <v>0.75277777777777777</v>
      </c>
      <c r="FO70" s="51">
        <v>0.29583333333333334</v>
      </c>
      <c r="FP70" s="51">
        <v>0.72916666666666663</v>
      </c>
      <c r="FQ70" s="52" t="s">
        <v>1182</v>
      </c>
      <c r="FR70" s="60">
        <v>91.593000000000004</v>
      </c>
    </row>
    <row r="71" spans="1:174" ht="20.25" thickBot="1" x14ac:dyDescent="0.3">
      <c r="A71">
        <v>9</v>
      </c>
      <c r="B71">
        <v>23</v>
      </c>
      <c r="C71" s="61">
        <v>6</v>
      </c>
      <c r="D71" s="53" t="s">
        <v>62</v>
      </c>
      <c r="E71" s="53" t="s">
        <v>76</v>
      </c>
      <c r="F71" s="71">
        <v>0.39101851851851849</v>
      </c>
      <c r="G71" s="53" t="s">
        <v>77</v>
      </c>
      <c r="H71" s="55">
        <v>0.2590277777777778</v>
      </c>
      <c r="I71" s="56">
        <v>0.78611111111111109</v>
      </c>
      <c r="J71" s="56">
        <v>0.28263888888888888</v>
      </c>
      <c r="K71" s="56">
        <v>0.7631944444444444</v>
      </c>
      <c r="L71" s="56">
        <v>0.30624999999999997</v>
      </c>
      <c r="M71" s="56">
        <v>0.73958333333333337</v>
      </c>
      <c r="N71" s="57" t="s">
        <v>78</v>
      </c>
      <c r="O71" s="62">
        <v>91.406999999999996</v>
      </c>
      <c r="Q71" s="61">
        <v>4</v>
      </c>
      <c r="R71" s="98"/>
      <c r="S71" s="53" t="s">
        <v>183</v>
      </c>
      <c r="T71" s="53" t="s">
        <v>184</v>
      </c>
      <c r="U71" s="54">
        <v>0.42594907407407406</v>
      </c>
      <c r="V71" s="53" t="s">
        <v>185</v>
      </c>
      <c r="W71" s="55">
        <v>0.25069444444444444</v>
      </c>
      <c r="X71" s="56">
        <v>0.80625000000000002</v>
      </c>
      <c r="Y71" s="56">
        <v>0.27291666666666664</v>
      </c>
      <c r="Z71" s="56">
        <v>0.78402777777777777</v>
      </c>
      <c r="AA71" s="56">
        <v>0.29583333333333334</v>
      </c>
      <c r="AB71" s="56">
        <v>0.76180555555555562</v>
      </c>
      <c r="AC71" s="57" t="s">
        <v>186</v>
      </c>
      <c r="AD71" s="92"/>
      <c r="AE71" s="92"/>
      <c r="AF71" s="92"/>
      <c r="AG71" s="92"/>
      <c r="AH71" s="62">
        <v>91.637</v>
      </c>
      <c r="AJ71" s="59">
        <v>7</v>
      </c>
      <c r="AK71" s="48" t="s">
        <v>303</v>
      </c>
      <c r="AL71" s="48" t="s">
        <v>304</v>
      </c>
      <c r="AM71" s="49">
        <v>0.4826388888888889</v>
      </c>
      <c r="AN71" s="48" t="s">
        <v>305</v>
      </c>
      <c r="AO71" s="50">
        <v>0.22222222222222221</v>
      </c>
      <c r="AP71" s="51">
        <v>0.83124999999999993</v>
      </c>
      <c r="AQ71" s="51">
        <v>0.24444444444444446</v>
      </c>
      <c r="AR71" s="51">
        <v>0.80902777777777779</v>
      </c>
      <c r="AS71" s="51">
        <v>0.26597222222222222</v>
      </c>
      <c r="AT71" s="51">
        <v>0.78680555555555554</v>
      </c>
      <c r="AU71" s="52" t="s">
        <v>306</v>
      </c>
      <c r="AV71" s="60">
        <v>92.269000000000005</v>
      </c>
      <c r="AW71" s="59">
        <v>5</v>
      </c>
      <c r="AX71" s="48" t="s">
        <v>394</v>
      </c>
      <c r="AY71" s="48" t="s">
        <v>395</v>
      </c>
      <c r="AZ71" s="49">
        <v>0.53718750000000004</v>
      </c>
      <c r="BA71" s="48" t="s">
        <v>285</v>
      </c>
      <c r="BB71" s="50">
        <v>0.22777777777777777</v>
      </c>
      <c r="BC71" s="51">
        <v>0.89722222222222225</v>
      </c>
      <c r="BD71" s="51">
        <v>0.25138888888888888</v>
      </c>
      <c r="BE71" s="51">
        <v>0.87361111111111101</v>
      </c>
      <c r="BF71" s="51">
        <v>0.27430555555555552</v>
      </c>
      <c r="BG71" s="51">
        <v>0.85069444444444453</v>
      </c>
      <c r="BH71" s="52" t="s">
        <v>396</v>
      </c>
      <c r="BI71" s="60">
        <v>93.022000000000006</v>
      </c>
      <c r="BL71" s="61">
        <v>6</v>
      </c>
      <c r="BM71" s="53" t="s">
        <v>490</v>
      </c>
      <c r="BN71" s="53" t="s">
        <v>491</v>
      </c>
      <c r="BO71" s="54">
        <v>0.59048611111111116</v>
      </c>
      <c r="BP71" s="53" t="s">
        <v>492</v>
      </c>
      <c r="BQ71" s="55">
        <v>0.18819444444444444</v>
      </c>
      <c r="BR71" s="56">
        <v>0.9291666666666667</v>
      </c>
      <c r="BS71" s="56">
        <v>0.21597222222222223</v>
      </c>
      <c r="BT71" s="56">
        <v>0.90069444444444446</v>
      </c>
      <c r="BU71" s="56">
        <v>0.24236111111111111</v>
      </c>
      <c r="BV71" s="56">
        <v>0.87430555555555556</v>
      </c>
      <c r="BW71" s="57" t="s">
        <v>493</v>
      </c>
      <c r="BX71" s="62">
        <v>93.799000000000007</v>
      </c>
      <c r="BZ71" s="59">
        <v>5</v>
      </c>
      <c r="CA71" s="48" t="s">
        <v>593</v>
      </c>
      <c r="CB71" s="48" t="s">
        <v>591</v>
      </c>
      <c r="CC71" s="49">
        <v>0.62429398148148152</v>
      </c>
      <c r="CD71" s="48" t="s">
        <v>594</v>
      </c>
      <c r="CE71" s="50">
        <v>0.16180555555555556</v>
      </c>
      <c r="CF71" s="51">
        <v>0.95763888888888893</v>
      </c>
      <c r="CG71" s="51">
        <v>0.19583333333333333</v>
      </c>
      <c r="CH71" s="51">
        <v>0.92361111111111116</v>
      </c>
      <c r="CI71" s="51">
        <v>0.22430555555555556</v>
      </c>
      <c r="CJ71" s="51">
        <v>0.89444444444444438</v>
      </c>
      <c r="CK71" s="52" t="s">
        <v>595</v>
      </c>
      <c r="CL71" s="60">
        <v>94.331000000000003</v>
      </c>
      <c r="CN71" s="61">
        <v>6</v>
      </c>
      <c r="CO71" s="53" t="s">
        <v>664</v>
      </c>
      <c r="CP71" s="53" t="s">
        <v>661</v>
      </c>
      <c r="CQ71" s="54">
        <v>0.62381944444444437</v>
      </c>
      <c r="CR71" s="53" t="s">
        <v>665</v>
      </c>
      <c r="CS71" s="55">
        <v>0.16597222222222222</v>
      </c>
      <c r="CT71" s="56">
        <v>0.96111111111111114</v>
      </c>
      <c r="CU71" s="56">
        <v>0.19999999999999998</v>
      </c>
      <c r="CV71" s="56">
        <v>0.9277777777777777</v>
      </c>
      <c r="CW71" s="56">
        <v>0.22916666666666666</v>
      </c>
      <c r="CX71" s="56">
        <v>0.89861111111111114</v>
      </c>
      <c r="CY71" s="57" t="s">
        <v>666</v>
      </c>
      <c r="CZ71" s="62">
        <v>94.512</v>
      </c>
      <c r="DB71" s="61">
        <v>6</v>
      </c>
      <c r="DC71" s="53" t="s">
        <v>779</v>
      </c>
      <c r="DD71" s="53" t="s">
        <v>780</v>
      </c>
      <c r="DE71" s="54">
        <v>0.5882060185185185</v>
      </c>
      <c r="DF71" s="53" t="s">
        <v>781</v>
      </c>
      <c r="DG71" s="55">
        <v>0.19513888888888889</v>
      </c>
      <c r="DH71" s="56">
        <v>0.93263888888888891</v>
      </c>
      <c r="DI71" s="56">
        <v>0.22361111111111109</v>
      </c>
      <c r="DJ71" s="56">
        <v>0.90486111111111101</v>
      </c>
      <c r="DK71" s="56">
        <v>0.24930555555555556</v>
      </c>
      <c r="DL71" s="56">
        <v>0.87916666666666676</v>
      </c>
      <c r="DM71" s="57" t="s">
        <v>782</v>
      </c>
      <c r="DN71" s="62">
        <v>94.274000000000001</v>
      </c>
      <c r="DP71" s="59">
        <v>5</v>
      </c>
      <c r="DQ71" s="48" t="s">
        <v>890</v>
      </c>
      <c r="DR71" s="48" t="s">
        <v>891</v>
      </c>
      <c r="DS71" s="49">
        <v>0.53699074074074071</v>
      </c>
      <c r="DT71" s="48" t="s">
        <v>888</v>
      </c>
      <c r="DU71" s="50">
        <v>0.22430555555555556</v>
      </c>
      <c r="DV71" s="51">
        <v>0.89374999999999993</v>
      </c>
      <c r="DW71" s="51">
        <v>0.24791666666666667</v>
      </c>
      <c r="DX71" s="51">
        <v>0.87013888888888891</v>
      </c>
      <c r="DY71" s="51">
        <v>0.27152777777777776</v>
      </c>
      <c r="DZ71" s="51">
        <v>0.84722222222222221</v>
      </c>
      <c r="EA71" s="52" t="s">
        <v>892</v>
      </c>
      <c r="EB71" s="60">
        <v>93.701999999999998</v>
      </c>
      <c r="ED71" s="61">
        <v>6</v>
      </c>
      <c r="EE71" s="53" t="s">
        <v>987</v>
      </c>
      <c r="EF71" s="53" t="s">
        <v>988</v>
      </c>
      <c r="EG71" s="54">
        <v>0.47956018518518517</v>
      </c>
      <c r="EH71" s="53" t="s">
        <v>911</v>
      </c>
      <c r="EI71" s="55">
        <v>0.24861111111111112</v>
      </c>
      <c r="EJ71" s="56">
        <v>0.85486111111111107</v>
      </c>
      <c r="EK71" s="56">
        <v>0.27083333333333331</v>
      </c>
      <c r="EL71" s="56">
        <v>0.83263888888888893</v>
      </c>
      <c r="EM71" s="56">
        <v>0.29305555555555557</v>
      </c>
      <c r="EN71" s="56">
        <v>0.81041666666666667</v>
      </c>
      <c r="EO71" s="57" t="s">
        <v>989</v>
      </c>
      <c r="EP71" s="62">
        <v>92.908000000000001</v>
      </c>
      <c r="ER71" s="167" t="s">
        <v>1082</v>
      </c>
      <c r="ES71" s="168"/>
      <c r="ET71" s="168"/>
      <c r="EU71" s="168"/>
      <c r="EV71" s="168"/>
      <c r="EW71" s="168"/>
      <c r="EX71" s="168"/>
      <c r="EY71" s="168"/>
      <c r="EZ71" s="168"/>
      <c r="FA71" s="168"/>
      <c r="FB71" s="168"/>
      <c r="FC71" s="168"/>
      <c r="FD71" s="169"/>
      <c r="FF71" s="61">
        <v>6</v>
      </c>
      <c r="FG71" s="53" t="s">
        <v>1183</v>
      </c>
      <c r="FH71" s="53" t="s">
        <v>1180</v>
      </c>
      <c r="FI71" s="54">
        <v>0.3903240740740741</v>
      </c>
      <c r="FJ71" s="53" t="s">
        <v>1184</v>
      </c>
      <c r="FK71" s="55">
        <v>0.24930555555555556</v>
      </c>
      <c r="FL71" s="56">
        <v>0.77569444444444446</v>
      </c>
      <c r="FM71" s="56">
        <v>0.2722222222222222</v>
      </c>
      <c r="FN71" s="56">
        <v>0.75277777777777777</v>
      </c>
      <c r="FO71" s="56">
        <v>0.29652777777777778</v>
      </c>
      <c r="FP71" s="56">
        <v>0.72916666666666663</v>
      </c>
      <c r="FQ71" s="57" t="s">
        <v>1185</v>
      </c>
      <c r="FR71" s="62">
        <v>91.58</v>
      </c>
    </row>
    <row r="72" spans="1:174" ht="20.25" thickBot="1" x14ac:dyDescent="0.3">
      <c r="A72">
        <v>9</v>
      </c>
      <c r="B72">
        <v>24</v>
      </c>
      <c r="C72" s="59">
        <v>7</v>
      </c>
      <c r="D72" s="48" t="s">
        <v>79</v>
      </c>
      <c r="E72" s="48" t="s">
        <v>80</v>
      </c>
      <c r="F72" s="70">
        <v>0.39174768518518516</v>
      </c>
      <c r="G72" s="48" t="s">
        <v>81</v>
      </c>
      <c r="H72" s="50">
        <v>0.2590277777777778</v>
      </c>
      <c r="I72" s="51">
        <v>0.78680555555555554</v>
      </c>
      <c r="J72" s="51">
        <v>0.28263888888888888</v>
      </c>
      <c r="K72" s="51">
        <v>0.76388888888888884</v>
      </c>
      <c r="L72" s="51">
        <v>0.30624999999999997</v>
      </c>
      <c r="M72" s="51">
        <v>0.7402777777777777</v>
      </c>
      <c r="N72" s="52" t="s">
        <v>82</v>
      </c>
      <c r="O72" s="60">
        <v>91.409000000000006</v>
      </c>
      <c r="Q72" s="59">
        <v>5</v>
      </c>
      <c r="R72" s="59"/>
      <c r="S72" s="48" t="s">
        <v>187</v>
      </c>
      <c r="T72" s="48" t="s">
        <v>188</v>
      </c>
      <c r="U72" s="49">
        <v>0.42753472222222227</v>
      </c>
      <c r="V72" s="48" t="s">
        <v>189</v>
      </c>
      <c r="W72" s="50">
        <v>0.25</v>
      </c>
      <c r="X72" s="51">
        <v>0.80694444444444446</v>
      </c>
      <c r="Y72" s="51">
        <v>0.2722222222222222</v>
      </c>
      <c r="Z72" s="51">
        <v>0.78472222222222221</v>
      </c>
      <c r="AA72" s="51">
        <v>0.2951388888888889</v>
      </c>
      <c r="AB72" s="51">
        <v>0.76250000000000007</v>
      </c>
      <c r="AC72" s="52" t="s">
        <v>190</v>
      </c>
      <c r="AD72" s="91"/>
      <c r="AE72" s="91"/>
      <c r="AF72" s="91"/>
      <c r="AG72" s="91"/>
      <c r="AH72" s="60">
        <v>91.652000000000001</v>
      </c>
      <c r="AJ72" s="61">
        <v>8</v>
      </c>
      <c r="AK72" s="53" t="s">
        <v>307</v>
      </c>
      <c r="AL72" s="53" t="s">
        <v>308</v>
      </c>
      <c r="AM72" s="54">
        <v>0.48451388888888891</v>
      </c>
      <c r="AN72" s="53" t="s">
        <v>305</v>
      </c>
      <c r="AO72" s="55">
        <v>0.22083333333333333</v>
      </c>
      <c r="AP72" s="56">
        <v>0.83194444444444438</v>
      </c>
      <c r="AQ72" s="56">
        <v>0.24305555555555555</v>
      </c>
      <c r="AR72" s="56">
        <v>0.80972222222222223</v>
      </c>
      <c r="AS72" s="56">
        <v>0.26527777777777778</v>
      </c>
      <c r="AT72" s="56">
        <v>0.78749999999999998</v>
      </c>
      <c r="AU72" s="57" t="s">
        <v>309</v>
      </c>
      <c r="AV72" s="62">
        <v>92.293000000000006</v>
      </c>
      <c r="AW72" s="61">
        <v>6</v>
      </c>
      <c r="AX72" s="53" t="s">
        <v>397</v>
      </c>
      <c r="AY72" s="53" t="s">
        <v>398</v>
      </c>
      <c r="AZ72" s="54">
        <v>0.53903935185185181</v>
      </c>
      <c r="BA72" s="53" t="s">
        <v>277</v>
      </c>
      <c r="BB72" s="55">
        <v>0.22638888888888889</v>
      </c>
      <c r="BC72" s="56">
        <v>0.89861111111111114</v>
      </c>
      <c r="BD72" s="56">
        <v>0.25069444444444444</v>
      </c>
      <c r="BE72" s="56">
        <v>0.87430555555555556</v>
      </c>
      <c r="BF72" s="56">
        <v>0.27361111111111108</v>
      </c>
      <c r="BG72" s="56">
        <v>0.85138888888888886</v>
      </c>
      <c r="BH72" s="57" t="s">
        <v>399</v>
      </c>
      <c r="BI72" s="62">
        <v>93.048000000000002</v>
      </c>
      <c r="BL72" s="59">
        <v>7</v>
      </c>
      <c r="BM72" s="48" t="s">
        <v>494</v>
      </c>
      <c r="BN72" s="48" t="s">
        <v>495</v>
      </c>
      <c r="BO72" s="49">
        <v>0.59199074074074076</v>
      </c>
      <c r="BP72" s="48" t="s">
        <v>174</v>
      </c>
      <c r="BQ72" s="50">
        <v>0.18680555555555556</v>
      </c>
      <c r="BR72" s="51">
        <v>0.92986111111111114</v>
      </c>
      <c r="BS72" s="51">
        <v>0.21527777777777779</v>
      </c>
      <c r="BT72" s="51">
        <v>0.90138888888888891</v>
      </c>
      <c r="BU72" s="51">
        <v>0.24097222222222223</v>
      </c>
      <c r="BV72" s="51">
        <v>0.87569444444444444</v>
      </c>
      <c r="BW72" s="52" t="s">
        <v>496</v>
      </c>
      <c r="BX72" s="60">
        <v>93.820999999999998</v>
      </c>
      <c r="BZ72" s="61">
        <v>6</v>
      </c>
      <c r="CA72" s="53" t="s">
        <v>593</v>
      </c>
      <c r="CB72" s="53" t="s">
        <v>596</v>
      </c>
      <c r="CC72" s="54">
        <v>0.62490740740740736</v>
      </c>
      <c r="CD72" s="53" t="s">
        <v>597</v>
      </c>
      <c r="CE72" s="55">
        <v>0.16111111111111112</v>
      </c>
      <c r="CF72" s="56">
        <v>0.95833333333333337</v>
      </c>
      <c r="CG72" s="56">
        <v>0.19513888888888889</v>
      </c>
      <c r="CH72" s="56">
        <v>0.9243055555555556</v>
      </c>
      <c r="CI72" s="56">
        <v>0.22430555555555556</v>
      </c>
      <c r="CJ72" s="56">
        <v>0.89513888888888893</v>
      </c>
      <c r="CK72" s="57" t="s">
        <v>598</v>
      </c>
      <c r="CL72" s="62">
        <v>94.343000000000004</v>
      </c>
      <c r="CN72" s="59">
        <v>7</v>
      </c>
      <c r="CO72" s="48" t="s">
        <v>664</v>
      </c>
      <c r="CP72" s="48" t="s">
        <v>661</v>
      </c>
      <c r="CQ72" s="49">
        <v>0.62313657407407408</v>
      </c>
      <c r="CR72" s="48" t="s">
        <v>667</v>
      </c>
      <c r="CS72" s="50">
        <v>0.16666666666666666</v>
      </c>
      <c r="CT72" s="51">
        <v>0.96111111111111114</v>
      </c>
      <c r="CU72" s="51">
        <v>0.20069444444444443</v>
      </c>
      <c r="CV72" s="51">
        <v>0.92708333333333337</v>
      </c>
      <c r="CW72" s="51">
        <v>0.22916666666666666</v>
      </c>
      <c r="CX72" s="51">
        <v>0.89861111111111114</v>
      </c>
      <c r="CY72" s="52" t="s">
        <v>668</v>
      </c>
      <c r="CZ72" s="60">
        <v>94.51</v>
      </c>
      <c r="DB72" s="59">
        <v>7</v>
      </c>
      <c r="DC72" s="48" t="s">
        <v>783</v>
      </c>
      <c r="DD72" s="48" t="s">
        <v>784</v>
      </c>
      <c r="DE72" s="49">
        <v>0.58666666666666667</v>
      </c>
      <c r="DF72" s="48" t="s">
        <v>785</v>
      </c>
      <c r="DG72" s="50">
        <v>0.19652777777777777</v>
      </c>
      <c r="DH72" s="51">
        <v>0.93194444444444446</v>
      </c>
      <c r="DI72" s="51">
        <v>0.22430555555555556</v>
      </c>
      <c r="DJ72" s="51">
        <v>0.90416666666666667</v>
      </c>
      <c r="DK72" s="51">
        <v>0.25</v>
      </c>
      <c r="DL72" s="51">
        <v>0.87847222222222221</v>
      </c>
      <c r="DM72" s="52" t="s">
        <v>786</v>
      </c>
      <c r="DN72" s="60">
        <v>94.259</v>
      </c>
      <c r="DP72" s="61">
        <v>6</v>
      </c>
      <c r="DQ72" s="53" t="s">
        <v>893</v>
      </c>
      <c r="DR72" s="53" t="s">
        <v>894</v>
      </c>
      <c r="DS72" s="54">
        <v>0.53516203703703702</v>
      </c>
      <c r="DT72" s="53" t="s">
        <v>888</v>
      </c>
      <c r="DU72" s="55">
        <v>0.22500000000000001</v>
      </c>
      <c r="DV72" s="56">
        <v>0.89236111111111116</v>
      </c>
      <c r="DW72" s="56">
        <v>0.24930555555555556</v>
      </c>
      <c r="DX72" s="56">
        <v>0.86875000000000002</v>
      </c>
      <c r="DY72" s="56">
        <v>0.2722222222222222</v>
      </c>
      <c r="DZ72" s="56">
        <v>0.84583333333333333</v>
      </c>
      <c r="EA72" s="57" t="s">
        <v>895</v>
      </c>
      <c r="EB72" s="62">
        <v>93.677999999999997</v>
      </c>
      <c r="ED72" s="59">
        <v>7</v>
      </c>
      <c r="EE72" s="48" t="s">
        <v>990</v>
      </c>
      <c r="EF72" s="48" t="s">
        <v>991</v>
      </c>
      <c r="EG72" s="49">
        <v>0.47770833333333335</v>
      </c>
      <c r="EH72" s="48" t="s">
        <v>911</v>
      </c>
      <c r="EI72" s="50">
        <v>0.24930555555555556</v>
      </c>
      <c r="EJ72" s="51">
        <v>0.8534722222222223</v>
      </c>
      <c r="EK72" s="51">
        <v>0.27152777777777776</v>
      </c>
      <c r="EL72" s="51">
        <v>0.83124999999999993</v>
      </c>
      <c r="EM72" s="51">
        <v>0.29375000000000001</v>
      </c>
      <c r="EN72" s="51">
        <v>0.80972222222222223</v>
      </c>
      <c r="EO72" s="52" t="s">
        <v>992</v>
      </c>
      <c r="EP72" s="60">
        <v>92.881</v>
      </c>
      <c r="ER72" s="59">
        <v>6</v>
      </c>
      <c r="ES72" s="48" t="s">
        <v>1083</v>
      </c>
      <c r="ET72" s="48" t="s">
        <v>1084</v>
      </c>
      <c r="EU72" s="49">
        <v>0.42556712962962967</v>
      </c>
      <c r="EV72" s="48" t="s">
        <v>793</v>
      </c>
      <c r="EW72" s="50">
        <v>0.2298611111111111</v>
      </c>
      <c r="EX72" s="51">
        <v>0.78472222222222221</v>
      </c>
      <c r="EY72" s="51">
        <v>0.25208333333333333</v>
      </c>
      <c r="EZ72" s="51">
        <v>0.76250000000000007</v>
      </c>
      <c r="FA72" s="51">
        <v>0.27430555555555552</v>
      </c>
      <c r="FB72" s="51">
        <v>0.7402777777777777</v>
      </c>
      <c r="FC72" s="52" t="s">
        <v>1085</v>
      </c>
      <c r="FD72" s="60">
        <v>92.122</v>
      </c>
      <c r="FF72" s="59">
        <v>7</v>
      </c>
      <c r="FG72" s="48" t="s">
        <v>1186</v>
      </c>
      <c r="FH72" s="48" t="s">
        <v>1180</v>
      </c>
      <c r="FI72" s="49">
        <v>0.38967592592592593</v>
      </c>
      <c r="FJ72" s="48" t="s">
        <v>665</v>
      </c>
      <c r="FK72" s="50">
        <v>0.25</v>
      </c>
      <c r="FL72" s="51">
        <v>0.77638888888888891</v>
      </c>
      <c r="FM72" s="51">
        <v>0.27291666666666664</v>
      </c>
      <c r="FN72" s="51">
        <v>0.75277777777777777</v>
      </c>
      <c r="FO72" s="51">
        <v>0.29652777777777778</v>
      </c>
      <c r="FP72" s="51">
        <v>0.72916666666666663</v>
      </c>
      <c r="FQ72" s="52" t="s">
        <v>1187</v>
      </c>
      <c r="FR72" s="60">
        <v>91.566999999999993</v>
      </c>
    </row>
    <row r="73" spans="1:174" ht="20.25" thickBot="1" x14ac:dyDescent="0.3">
      <c r="A73">
        <v>9</v>
      </c>
      <c r="B73">
        <v>25</v>
      </c>
      <c r="C73" s="61">
        <v>8</v>
      </c>
      <c r="D73" s="53" t="s">
        <v>79</v>
      </c>
      <c r="E73" s="53" t="s">
        <v>83</v>
      </c>
      <c r="F73" s="71">
        <v>0.39252314814814815</v>
      </c>
      <c r="G73" s="53" t="s">
        <v>84</v>
      </c>
      <c r="H73" s="55">
        <v>0.2590277777777778</v>
      </c>
      <c r="I73" s="56">
        <v>0.78749999999999998</v>
      </c>
      <c r="J73" s="56">
        <v>0.28194444444444444</v>
      </c>
      <c r="K73" s="56">
        <v>0.76458333333333339</v>
      </c>
      <c r="L73" s="56">
        <v>0.30624999999999997</v>
      </c>
      <c r="M73" s="56">
        <v>0.74097222222222225</v>
      </c>
      <c r="N73" s="57" t="s">
        <v>85</v>
      </c>
      <c r="O73" s="62">
        <v>91.411000000000001</v>
      </c>
      <c r="Q73" s="61">
        <v>6</v>
      </c>
      <c r="R73" s="98"/>
      <c r="S73" s="53" t="s">
        <v>191</v>
      </c>
      <c r="T73" s="53" t="s">
        <v>192</v>
      </c>
      <c r="U73" s="54">
        <v>0.4291550925925926</v>
      </c>
      <c r="V73" s="53" t="s">
        <v>193</v>
      </c>
      <c r="W73" s="55">
        <v>0.24930555555555556</v>
      </c>
      <c r="X73" s="56">
        <v>0.80833333333333324</v>
      </c>
      <c r="Y73" s="56">
        <v>0.27152777777777776</v>
      </c>
      <c r="Z73" s="56">
        <v>0.78611111111111109</v>
      </c>
      <c r="AA73" s="56">
        <v>0.29444444444444445</v>
      </c>
      <c r="AB73" s="56">
        <v>0.7631944444444444</v>
      </c>
      <c r="AC73" s="57" t="s">
        <v>194</v>
      </c>
      <c r="AD73" s="92"/>
      <c r="AE73" s="92"/>
      <c r="AF73" s="92"/>
      <c r="AG73" s="92"/>
      <c r="AH73" s="62">
        <v>91.667000000000002</v>
      </c>
      <c r="AJ73" s="59">
        <v>9</v>
      </c>
      <c r="AK73" s="48" t="s">
        <v>310</v>
      </c>
      <c r="AL73" s="48" t="s">
        <v>311</v>
      </c>
      <c r="AM73" s="49">
        <v>0.48640046296296297</v>
      </c>
      <c r="AN73" s="48" t="s">
        <v>305</v>
      </c>
      <c r="AO73" s="50">
        <v>0.22013888888888888</v>
      </c>
      <c r="AP73" s="51">
        <v>0.83263888888888893</v>
      </c>
      <c r="AQ73" s="51">
        <v>0.24236111111111111</v>
      </c>
      <c r="AR73" s="51">
        <v>0.81041666666666667</v>
      </c>
      <c r="AS73" s="51">
        <v>0.2638888888888889</v>
      </c>
      <c r="AT73" s="51">
        <v>0.78819444444444453</v>
      </c>
      <c r="AU73" s="52" t="s">
        <v>312</v>
      </c>
      <c r="AV73" s="60">
        <v>92.316999999999993</v>
      </c>
      <c r="AW73" s="59">
        <v>7</v>
      </c>
      <c r="AX73" s="48" t="s">
        <v>400</v>
      </c>
      <c r="AY73" s="48" t="s">
        <v>401</v>
      </c>
      <c r="AZ73" s="49">
        <v>0.54087962962962965</v>
      </c>
      <c r="BA73" s="48" t="s">
        <v>277</v>
      </c>
      <c r="BB73" s="50">
        <v>0.22500000000000001</v>
      </c>
      <c r="BC73" s="51">
        <v>0.89930555555555547</v>
      </c>
      <c r="BD73" s="51">
        <v>0.24930555555555556</v>
      </c>
      <c r="BE73" s="51">
        <v>0.875</v>
      </c>
      <c r="BF73" s="51">
        <v>0.2722222222222222</v>
      </c>
      <c r="BG73" s="51">
        <v>0.8520833333333333</v>
      </c>
      <c r="BH73" s="52" t="s">
        <v>402</v>
      </c>
      <c r="BI73" s="60">
        <v>93.075000000000003</v>
      </c>
      <c r="BL73" s="61">
        <v>8</v>
      </c>
      <c r="BM73" s="53" t="s">
        <v>497</v>
      </c>
      <c r="BN73" s="53" t="s">
        <v>498</v>
      </c>
      <c r="BO73" s="54">
        <v>0.59348379629629633</v>
      </c>
      <c r="BP73" s="53" t="s">
        <v>499</v>
      </c>
      <c r="BQ73" s="55">
        <v>0.18541666666666667</v>
      </c>
      <c r="BR73" s="56">
        <v>0.93125000000000002</v>
      </c>
      <c r="BS73" s="56">
        <v>0.21458333333333335</v>
      </c>
      <c r="BT73" s="56">
        <v>0.90208333333333324</v>
      </c>
      <c r="BU73" s="56">
        <v>0.24027777777777778</v>
      </c>
      <c r="BV73" s="56">
        <v>0.87638888888888899</v>
      </c>
      <c r="BW73" s="57" t="s">
        <v>500</v>
      </c>
      <c r="BX73" s="62">
        <v>93.843000000000004</v>
      </c>
      <c r="BZ73" s="59">
        <v>7</v>
      </c>
      <c r="CA73" s="48" t="s">
        <v>599</v>
      </c>
      <c r="CB73" s="48" t="s">
        <v>600</v>
      </c>
      <c r="CC73" s="49">
        <v>0.62547453703703704</v>
      </c>
      <c r="CD73" s="48" t="s">
        <v>601</v>
      </c>
      <c r="CE73" s="50">
        <v>0.16111111111111112</v>
      </c>
      <c r="CF73" s="51">
        <v>0.9590277777777777</v>
      </c>
      <c r="CG73" s="51">
        <v>0.19513888888888889</v>
      </c>
      <c r="CH73" s="51">
        <v>0.92499999999999993</v>
      </c>
      <c r="CI73" s="51">
        <v>0.22430555555555556</v>
      </c>
      <c r="CJ73" s="51">
        <v>0.89583333333333337</v>
      </c>
      <c r="CK73" s="52" t="s">
        <v>602</v>
      </c>
      <c r="CL73" s="60">
        <v>94.353999999999999</v>
      </c>
      <c r="CN73" s="61">
        <v>8</v>
      </c>
      <c r="CO73" s="53" t="s">
        <v>669</v>
      </c>
      <c r="CP73" s="53" t="s">
        <v>670</v>
      </c>
      <c r="CQ73" s="54">
        <v>0.62241898148148145</v>
      </c>
      <c r="CR73" s="53" t="s">
        <v>671</v>
      </c>
      <c r="CS73" s="55">
        <v>0.1673611111111111</v>
      </c>
      <c r="CT73" s="56">
        <v>0.9604166666666667</v>
      </c>
      <c r="CU73" s="56">
        <v>0.20069444444444443</v>
      </c>
      <c r="CV73" s="56">
        <v>0.92708333333333337</v>
      </c>
      <c r="CW73" s="56">
        <v>0.2298611111111111</v>
      </c>
      <c r="CX73" s="56">
        <v>0.8979166666666667</v>
      </c>
      <c r="CY73" s="57" t="s">
        <v>672</v>
      </c>
      <c r="CZ73" s="62">
        <v>94.507999999999996</v>
      </c>
      <c r="DB73" s="61">
        <v>8</v>
      </c>
      <c r="DC73" s="53" t="s">
        <v>787</v>
      </c>
      <c r="DD73" s="53" t="s">
        <v>788</v>
      </c>
      <c r="DE73" s="54">
        <v>0.58511574074074069</v>
      </c>
      <c r="DF73" s="53" t="s">
        <v>789</v>
      </c>
      <c r="DG73" s="55">
        <v>0.19722222222222222</v>
      </c>
      <c r="DH73" s="56">
        <v>0.93055555555555547</v>
      </c>
      <c r="DI73" s="56">
        <v>0.22500000000000001</v>
      </c>
      <c r="DJ73" s="56">
        <v>0.90277777777777779</v>
      </c>
      <c r="DK73" s="56">
        <v>0.25069444444444444</v>
      </c>
      <c r="DL73" s="56">
        <v>0.87708333333333333</v>
      </c>
      <c r="DM73" s="57" t="s">
        <v>790</v>
      </c>
      <c r="DN73" s="62">
        <v>94.244</v>
      </c>
      <c r="DP73" s="59">
        <v>7</v>
      </c>
      <c r="DQ73" s="48" t="s">
        <v>896</v>
      </c>
      <c r="DR73" s="48" t="s">
        <v>897</v>
      </c>
      <c r="DS73" s="49">
        <v>0.53333333333333333</v>
      </c>
      <c r="DT73" s="48" t="s">
        <v>898</v>
      </c>
      <c r="DU73" s="50">
        <v>0.22638888888888889</v>
      </c>
      <c r="DV73" s="51">
        <v>0.89097222222222217</v>
      </c>
      <c r="DW73" s="51">
        <v>0.25</v>
      </c>
      <c r="DX73" s="51">
        <v>0.86736111111111114</v>
      </c>
      <c r="DY73" s="51">
        <v>0.27291666666666664</v>
      </c>
      <c r="DZ73" s="51">
        <v>0.84444444444444444</v>
      </c>
      <c r="EA73" s="52" t="s">
        <v>899</v>
      </c>
      <c r="EB73" s="60">
        <v>93.653999999999996</v>
      </c>
      <c r="ED73" s="61">
        <v>8</v>
      </c>
      <c r="EE73" s="53" t="s">
        <v>993</v>
      </c>
      <c r="EF73" s="53" t="s">
        <v>994</v>
      </c>
      <c r="EG73" s="54">
        <v>0.4758680555555555</v>
      </c>
      <c r="EH73" s="53" t="s">
        <v>911</v>
      </c>
      <c r="EI73" s="55">
        <v>0.25</v>
      </c>
      <c r="EJ73" s="56">
        <v>0.85277777777777775</v>
      </c>
      <c r="EK73" s="56">
        <v>0.2722222222222222</v>
      </c>
      <c r="EL73" s="56">
        <v>0.8305555555555556</v>
      </c>
      <c r="EM73" s="56">
        <v>0.29444444444444445</v>
      </c>
      <c r="EN73" s="56">
        <v>0.80833333333333324</v>
      </c>
      <c r="EO73" s="57" t="s">
        <v>995</v>
      </c>
      <c r="EP73" s="62">
        <v>92.853999999999999</v>
      </c>
      <c r="ER73" s="61">
        <v>7</v>
      </c>
      <c r="ES73" s="53" t="s">
        <v>1086</v>
      </c>
      <c r="ET73" s="53" t="s">
        <v>1087</v>
      </c>
      <c r="EU73" s="54">
        <v>0.42401620370370369</v>
      </c>
      <c r="EV73" s="53" t="s">
        <v>789</v>
      </c>
      <c r="EW73" s="55">
        <v>0.23055555555555554</v>
      </c>
      <c r="EX73" s="56">
        <v>0.78402777777777777</v>
      </c>
      <c r="EY73" s="56">
        <v>0.25277777777777777</v>
      </c>
      <c r="EZ73" s="56">
        <v>0.76180555555555562</v>
      </c>
      <c r="FA73" s="56">
        <v>0.27499999999999997</v>
      </c>
      <c r="FB73" s="56">
        <v>0.73958333333333337</v>
      </c>
      <c r="FC73" s="57" t="s">
        <v>1088</v>
      </c>
      <c r="FD73" s="62">
        <v>92.099000000000004</v>
      </c>
      <c r="FF73" s="61">
        <v>8</v>
      </c>
      <c r="FG73" s="53" t="s">
        <v>1188</v>
      </c>
      <c r="FH73" s="53" t="s">
        <v>1180</v>
      </c>
      <c r="FI73" s="54">
        <v>0.38907407407407407</v>
      </c>
      <c r="FJ73" s="53" t="s">
        <v>662</v>
      </c>
      <c r="FK73" s="55">
        <v>0.25069444444444444</v>
      </c>
      <c r="FL73" s="56">
        <v>0.77638888888888891</v>
      </c>
      <c r="FM73" s="56">
        <v>0.27361111111111108</v>
      </c>
      <c r="FN73" s="56">
        <v>0.75277777777777777</v>
      </c>
      <c r="FO73" s="56">
        <v>0.29722222222222222</v>
      </c>
      <c r="FP73" s="56">
        <v>0.72916666666666663</v>
      </c>
      <c r="FQ73" s="57" t="s">
        <v>1189</v>
      </c>
      <c r="FR73" s="62">
        <v>91.554000000000002</v>
      </c>
    </row>
    <row r="74" spans="1:174" ht="20.25" thickBot="1" x14ac:dyDescent="0.3">
      <c r="A74">
        <v>9</v>
      </c>
      <c r="B74">
        <v>26</v>
      </c>
      <c r="C74" s="59">
        <v>9</v>
      </c>
      <c r="D74" s="48" t="s">
        <v>79</v>
      </c>
      <c r="E74" s="48" t="s">
        <v>86</v>
      </c>
      <c r="F74" s="70">
        <v>0.39333333333333331</v>
      </c>
      <c r="G74" s="48" t="s">
        <v>87</v>
      </c>
      <c r="H74" s="50">
        <v>0.2590277777777778</v>
      </c>
      <c r="I74" s="51">
        <v>0.78819444444444453</v>
      </c>
      <c r="J74" s="51">
        <v>0.28194444444444444</v>
      </c>
      <c r="K74" s="51">
        <v>0.76527777777777783</v>
      </c>
      <c r="L74" s="51">
        <v>0.30624999999999997</v>
      </c>
      <c r="M74" s="51">
        <v>0.7416666666666667</v>
      </c>
      <c r="N74" s="52" t="s">
        <v>88</v>
      </c>
      <c r="O74" s="60">
        <v>91.414000000000001</v>
      </c>
      <c r="Q74" s="59">
        <v>7</v>
      </c>
      <c r="R74" s="59"/>
      <c r="S74" s="48" t="s">
        <v>195</v>
      </c>
      <c r="T74" s="48" t="s">
        <v>196</v>
      </c>
      <c r="U74" s="49">
        <v>0.43077546296296299</v>
      </c>
      <c r="V74" s="48" t="s">
        <v>197</v>
      </c>
      <c r="W74" s="50">
        <v>0.24861111111111112</v>
      </c>
      <c r="X74" s="51">
        <v>0.80902777777777779</v>
      </c>
      <c r="Y74" s="51">
        <v>0.27083333333333331</v>
      </c>
      <c r="Z74" s="51">
        <v>0.78680555555555554</v>
      </c>
      <c r="AA74" s="51">
        <v>0.29375000000000001</v>
      </c>
      <c r="AB74" s="51">
        <v>0.76388888888888884</v>
      </c>
      <c r="AC74" s="52" t="s">
        <v>198</v>
      </c>
      <c r="AD74" s="91"/>
      <c r="AE74" s="91"/>
      <c r="AF74" s="91"/>
      <c r="AG74" s="91"/>
      <c r="AH74" s="60">
        <v>91.682000000000002</v>
      </c>
      <c r="AJ74" s="61">
        <v>10</v>
      </c>
      <c r="AK74" s="53" t="s">
        <v>313</v>
      </c>
      <c r="AL74" s="53" t="s">
        <v>314</v>
      </c>
      <c r="AM74" s="54">
        <v>0.48827546296296293</v>
      </c>
      <c r="AN74" s="53" t="s">
        <v>305</v>
      </c>
      <c r="AO74" s="55">
        <v>0.21875</v>
      </c>
      <c r="AP74" s="56">
        <v>0.83333333333333337</v>
      </c>
      <c r="AQ74" s="56">
        <v>0.24097222222222223</v>
      </c>
      <c r="AR74" s="56">
        <v>0.81111111111111101</v>
      </c>
      <c r="AS74" s="56">
        <v>0.26319444444444445</v>
      </c>
      <c r="AT74" s="56">
        <v>0.78888888888888886</v>
      </c>
      <c r="AU74" s="57" t="s">
        <v>315</v>
      </c>
      <c r="AV74" s="62">
        <v>92.341999999999999</v>
      </c>
      <c r="AW74" s="61">
        <v>8</v>
      </c>
      <c r="AX74" s="53" t="s">
        <v>403</v>
      </c>
      <c r="AY74" s="53" t="s">
        <v>404</v>
      </c>
      <c r="AZ74" s="54">
        <v>0.54271990740740739</v>
      </c>
      <c r="BA74" s="53" t="s">
        <v>270</v>
      </c>
      <c r="BB74" s="55">
        <v>0.22361111111111109</v>
      </c>
      <c r="BC74" s="56">
        <v>0.9</v>
      </c>
      <c r="BD74" s="56">
        <v>0.24791666666666667</v>
      </c>
      <c r="BE74" s="56">
        <v>0.87569444444444444</v>
      </c>
      <c r="BF74" s="56">
        <v>0.27083333333333331</v>
      </c>
      <c r="BG74" s="56">
        <v>0.85277777777777775</v>
      </c>
      <c r="BH74" s="57" t="s">
        <v>405</v>
      </c>
      <c r="BI74" s="62">
        <v>93.102000000000004</v>
      </c>
      <c r="BL74" s="59">
        <v>9</v>
      </c>
      <c r="BM74" s="48" t="s">
        <v>501</v>
      </c>
      <c r="BN74" s="48" t="s">
        <v>502</v>
      </c>
      <c r="BO74" s="49">
        <v>0.59494212962962967</v>
      </c>
      <c r="BP74" s="48" t="s">
        <v>503</v>
      </c>
      <c r="BQ74" s="50">
        <v>0.18472222222222223</v>
      </c>
      <c r="BR74" s="51">
        <v>0.93194444444444446</v>
      </c>
      <c r="BS74" s="51">
        <v>0.21319444444444444</v>
      </c>
      <c r="BT74" s="51">
        <v>0.90347222222222223</v>
      </c>
      <c r="BU74" s="51">
        <v>0.23958333333333334</v>
      </c>
      <c r="BV74" s="51">
        <v>0.87708333333333333</v>
      </c>
      <c r="BW74" s="52" t="s">
        <v>504</v>
      </c>
      <c r="BX74" s="60">
        <v>93.864000000000004</v>
      </c>
      <c r="BZ74" s="61">
        <v>8</v>
      </c>
      <c r="CA74" s="53" t="s">
        <v>599</v>
      </c>
      <c r="CB74" s="53" t="s">
        <v>600</v>
      </c>
      <c r="CC74" s="54">
        <v>0.62600694444444438</v>
      </c>
      <c r="CD74" s="53" t="s">
        <v>603</v>
      </c>
      <c r="CE74" s="55">
        <v>0.16041666666666668</v>
      </c>
      <c r="CF74" s="56">
        <v>0.95972222222222225</v>
      </c>
      <c r="CG74" s="56">
        <v>0.19444444444444445</v>
      </c>
      <c r="CH74" s="56">
        <v>0.92569444444444438</v>
      </c>
      <c r="CI74" s="56">
        <v>0.22361111111111109</v>
      </c>
      <c r="CJ74" s="56">
        <v>0.89583333333333337</v>
      </c>
      <c r="CK74" s="57" t="s">
        <v>604</v>
      </c>
      <c r="CL74" s="62">
        <v>94.364999999999995</v>
      </c>
      <c r="CN74" s="59">
        <v>9</v>
      </c>
      <c r="CO74" s="48" t="s">
        <v>673</v>
      </c>
      <c r="CP74" s="48" t="s">
        <v>670</v>
      </c>
      <c r="CQ74" s="49">
        <v>0.6216666666666667</v>
      </c>
      <c r="CR74" s="48" t="s">
        <v>674</v>
      </c>
      <c r="CS74" s="50">
        <v>0.16805555555555554</v>
      </c>
      <c r="CT74" s="51">
        <v>0.95972222222222225</v>
      </c>
      <c r="CU74" s="51">
        <v>0.20138888888888887</v>
      </c>
      <c r="CV74" s="51">
        <v>0.92638888888888893</v>
      </c>
      <c r="CW74" s="51">
        <v>0.23055555555555554</v>
      </c>
      <c r="CX74" s="51">
        <v>0.8979166666666667</v>
      </c>
      <c r="CY74" s="52" t="s">
        <v>675</v>
      </c>
      <c r="CZ74" s="60">
        <v>94.506</v>
      </c>
      <c r="DB74" s="59">
        <v>9</v>
      </c>
      <c r="DC74" s="48" t="s">
        <v>791</v>
      </c>
      <c r="DD74" s="48" t="s">
        <v>792</v>
      </c>
      <c r="DE74" s="49">
        <v>0.58354166666666674</v>
      </c>
      <c r="DF74" s="48" t="s">
        <v>793</v>
      </c>
      <c r="DG74" s="50">
        <v>0.1986111111111111</v>
      </c>
      <c r="DH74" s="51">
        <v>0.9291666666666667</v>
      </c>
      <c r="DI74" s="51">
        <v>0.22569444444444445</v>
      </c>
      <c r="DJ74" s="51">
        <v>0.90208333333333324</v>
      </c>
      <c r="DK74" s="51">
        <v>0.25138888888888888</v>
      </c>
      <c r="DL74" s="51">
        <v>0.87638888888888899</v>
      </c>
      <c r="DM74" s="52" t="s">
        <v>794</v>
      </c>
      <c r="DN74" s="60">
        <v>94.228999999999999</v>
      </c>
      <c r="DP74" s="61">
        <v>8</v>
      </c>
      <c r="DQ74" s="53" t="s">
        <v>900</v>
      </c>
      <c r="DR74" s="53" t="s">
        <v>901</v>
      </c>
      <c r="DS74" s="54">
        <v>0.53150462962962963</v>
      </c>
      <c r="DT74" s="53" t="s">
        <v>898</v>
      </c>
      <c r="DU74" s="55">
        <v>0.22708333333333333</v>
      </c>
      <c r="DV74" s="56">
        <v>0.88958333333333339</v>
      </c>
      <c r="DW74" s="56">
        <v>0.25069444444444444</v>
      </c>
      <c r="DX74" s="56">
        <v>0.86597222222222225</v>
      </c>
      <c r="DY74" s="56">
        <v>0.27361111111111108</v>
      </c>
      <c r="DZ74" s="56">
        <v>0.84305555555555556</v>
      </c>
      <c r="EA74" s="57" t="s">
        <v>902</v>
      </c>
      <c r="EB74" s="62">
        <v>93.63</v>
      </c>
      <c r="ED74" s="59">
        <v>9</v>
      </c>
      <c r="EE74" s="48" t="s">
        <v>996</v>
      </c>
      <c r="EF74" s="48" t="s">
        <v>997</v>
      </c>
      <c r="EG74" s="49">
        <v>0.47402777777777777</v>
      </c>
      <c r="EH74" s="48" t="s">
        <v>898</v>
      </c>
      <c r="EI74" s="50">
        <v>0.25138888888888888</v>
      </c>
      <c r="EJ74" s="51">
        <v>0.85138888888888886</v>
      </c>
      <c r="EK74" s="51">
        <v>0.27291666666666664</v>
      </c>
      <c r="EL74" s="51">
        <v>0.82916666666666661</v>
      </c>
      <c r="EM74" s="51">
        <v>0.2951388888888889</v>
      </c>
      <c r="EN74" s="51">
        <v>0.80763888888888891</v>
      </c>
      <c r="EO74" s="52" t="s">
        <v>998</v>
      </c>
      <c r="EP74" s="60">
        <v>92.825999999999993</v>
      </c>
      <c r="ER74" s="59">
        <v>8</v>
      </c>
      <c r="ES74" s="48" t="s">
        <v>1089</v>
      </c>
      <c r="ET74" s="48" t="s">
        <v>1090</v>
      </c>
      <c r="EU74" s="49">
        <v>0.42248842592592589</v>
      </c>
      <c r="EV74" s="48" t="s">
        <v>785</v>
      </c>
      <c r="EW74" s="50">
        <v>0.23124999999999998</v>
      </c>
      <c r="EX74" s="51">
        <v>0.78402777777777777</v>
      </c>
      <c r="EY74" s="51">
        <v>0.25347222222222221</v>
      </c>
      <c r="EZ74" s="51">
        <v>0.76180555555555562</v>
      </c>
      <c r="FA74" s="51">
        <v>0.27638888888888885</v>
      </c>
      <c r="FB74" s="51">
        <v>0.73888888888888893</v>
      </c>
      <c r="FC74" s="52" t="s">
        <v>1091</v>
      </c>
      <c r="FD74" s="60">
        <v>92.075999999999993</v>
      </c>
      <c r="FF74" s="59">
        <v>9</v>
      </c>
      <c r="FG74" s="48" t="s">
        <v>1190</v>
      </c>
      <c r="FH74" s="48" t="s">
        <v>1180</v>
      </c>
      <c r="FI74" s="49">
        <v>0.38851851851851849</v>
      </c>
      <c r="FJ74" s="48" t="s">
        <v>658</v>
      </c>
      <c r="FK74" s="50">
        <v>0.25138888888888888</v>
      </c>
      <c r="FL74" s="51">
        <v>0.77638888888888891</v>
      </c>
      <c r="FM74" s="51">
        <v>0.27430555555555552</v>
      </c>
      <c r="FN74" s="51">
        <v>0.75347222222222221</v>
      </c>
      <c r="FO74" s="51">
        <v>0.29791666666666666</v>
      </c>
      <c r="FP74" s="51">
        <v>0.72916666666666663</v>
      </c>
      <c r="FQ74" s="52" t="s">
        <v>1191</v>
      </c>
      <c r="FR74" s="60">
        <v>91.542000000000002</v>
      </c>
    </row>
    <row r="75" spans="1:174" ht="20.25" thickBot="1" x14ac:dyDescent="0.3">
      <c r="A75">
        <v>9</v>
      </c>
      <c r="B75">
        <v>27</v>
      </c>
      <c r="C75" s="61">
        <v>10</v>
      </c>
      <c r="D75" s="53" t="s">
        <v>79</v>
      </c>
      <c r="E75" s="53" t="s">
        <v>89</v>
      </c>
      <c r="F75" s="71">
        <v>0.39417824074074076</v>
      </c>
      <c r="G75" s="53" t="s">
        <v>90</v>
      </c>
      <c r="H75" s="55">
        <v>0.2590277777777778</v>
      </c>
      <c r="I75" s="56">
        <v>0.78888888888888886</v>
      </c>
      <c r="J75" s="56">
        <v>0.28194444444444444</v>
      </c>
      <c r="K75" s="56">
        <v>0.76597222222222217</v>
      </c>
      <c r="L75" s="56">
        <v>0.30555555555555552</v>
      </c>
      <c r="M75" s="56">
        <v>0.74236111111111114</v>
      </c>
      <c r="N75" s="57" t="s">
        <v>91</v>
      </c>
      <c r="O75" s="62">
        <v>91.415999999999997</v>
      </c>
      <c r="Q75" s="61">
        <v>8</v>
      </c>
      <c r="R75" s="98"/>
      <c r="S75" s="53" t="s">
        <v>199</v>
      </c>
      <c r="T75" s="53" t="s">
        <v>200</v>
      </c>
      <c r="U75" s="54">
        <v>0.43241898148148145</v>
      </c>
      <c r="V75" s="53" t="s">
        <v>201</v>
      </c>
      <c r="W75" s="55">
        <v>0.24791666666666667</v>
      </c>
      <c r="X75" s="56">
        <v>0.80972222222222223</v>
      </c>
      <c r="Y75" s="56">
        <v>0.27013888888888887</v>
      </c>
      <c r="Z75" s="56">
        <v>0.78749999999999998</v>
      </c>
      <c r="AA75" s="56">
        <v>0.29305555555555557</v>
      </c>
      <c r="AB75" s="56">
        <v>0.76458333333333339</v>
      </c>
      <c r="AC75" s="57" t="s">
        <v>202</v>
      </c>
      <c r="AD75" s="92"/>
      <c r="AE75" s="92"/>
      <c r="AF75" s="92"/>
      <c r="AG75" s="92"/>
      <c r="AH75" s="62">
        <v>91.697999999999993</v>
      </c>
      <c r="AJ75" s="59">
        <v>11</v>
      </c>
      <c r="AK75" s="48" t="s">
        <v>316</v>
      </c>
      <c r="AL75" s="48" t="s">
        <v>317</v>
      </c>
      <c r="AM75" s="49">
        <v>0.49016203703703703</v>
      </c>
      <c r="AN75" s="48" t="s">
        <v>305</v>
      </c>
      <c r="AO75" s="50">
        <v>0.21736111111111112</v>
      </c>
      <c r="AP75" s="51">
        <v>0.8340277777777777</v>
      </c>
      <c r="AQ75" s="51">
        <v>0.23958333333333334</v>
      </c>
      <c r="AR75" s="51">
        <v>0.81180555555555556</v>
      </c>
      <c r="AS75" s="51">
        <v>0.26180555555555557</v>
      </c>
      <c r="AT75" s="51">
        <v>0.7895833333333333</v>
      </c>
      <c r="AU75" s="52" t="s">
        <v>318</v>
      </c>
      <c r="AV75" s="60">
        <v>92.366</v>
      </c>
      <c r="AW75" s="59">
        <v>9</v>
      </c>
      <c r="AX75" s="48" t="s">
        <v>406</v>
      </c>
      <c r="AY75" s="48" t="s">
        <v>407</v>
      </c>
      <c r="AZ75" s="49">
        <v>0.54454861111111108</v>
      </c>
      <c r="BA75" s="48" t="s">
        <v>270</v>
      </c>
      <c r="BB75" s="50">
        <v>0.22222222222222221</v>
      </c>
      <c r="BC75" s="51">
        <v>0.90138888888888891</v>
      </c>
      <c r="BD75" s="51">
        <v>0.24652777777777779</v>
      </c>
      <c r="BE75" s="51">
        <v>0.87708333333333333</v>
      </c>
      <c r="BF75" s="51">
        <v>0.27013888888888887</v>
      </c>
      <c r="BG75" s="51">
        <v>0.8534722222222223</v>
      </c>
      <c r="BH75" s="52" t="s">
        <v>408</v>
      </c>
      <c r="BI75" s="60">
        <v>93.128</v>
      </c>
      <c r="BL75" s="61">
        <v>10</v>
      </c>
      <c r="BM75" s="53" t="s">
        <v>505</v>
      </c>
      <c r="BN75" s="53" t="s">
        <v>506</v>
      </c>
      <c r="BO75" s="54">
        <v>0.59638888888888886</v>
      </c>
      <c r="BP75" s="53" t="s">
        <v>507</v>
      </c>
      <c r="BQ75" s="55">
        <v>0.18333333333333335</v>
      </c>
      <c r="BR75" s="56">
        <v>0.93333333333333324</v>
      </c>
      <c r="BS75" s="56">
        <v>0.21249999999999999</v>
      </c>
      <c r="BT75" s="56">
        <v>0.90416666666666667</v>
      </c>
      <c r="BU75" s="56">
        <v>0.2388888888888889</v>
      </c>
      <c r="BV75" s="56">
        <v>0.87777777777777777</v>
      </c>
      <c r="BW75" s="57" t="s">
        <v>508</v>
      </c>
      <c r="BX75" s="62">
        <v>93.885000000000005</v>
      </c>
      <c r="BZ75" s="59">
        <v>9</v>
      </c>
      <c r="CA75" s="48" t="s">
        <v>605</v>
      </c>
      <c r="CB75" s="48" t="s">
        <v>606</v>
      </c>
      <c r="CC75" s="49">
        <v>0.62650462962962961</v>
      </c>
      <c r="CD75" s="48" t="s">
        <v>607</v>
      </c>
      <c r="CE75" s="50">
        <v>0.16041666666666668</v>
      </c>
      <c r="CF75" s="51">
        <v>0.9604166666666667</v>
      </c>
      <c r="CG75" s="51">
        <v>0.19444444444444445</v>
      </c>
      <c r="CH75" s="51">
        <v>0.92569444444444438</v>
      </c>
      <c r="CI75" s="51">
        <v>0.22361111111111109</v>
      </c>
      <c r="CJ75" s="51">
        <v>0.8965277777777777</v>
      </c>
      <c r="CK75" s="52" t="s">
        <v>604</v>
      </c>
      <c r="CL75" s="60">
        <v>94.376000000000005</v>
      </c>
      <c r="CN75" s="61">
        <v>10</v>
      </c>
      <c r="CO75" s="53" t="s">
        <v>673</v>
      </c>
      <c r="CP75" s="53" t="s">
        <v>676</v>
      </c>
      <c r="CQ75" s="54">
        <v>0.62087962962962961</v>
      </c>
      <c r="CR75" s="53" t="s">
        <v>677</v>
      </c>
      <c r="CS75" s="55">
        <v>0.16874999999999998</v>
      </c>
      <c r="CT75" s="56">
        <v>0.9590277777777777</v>
      </c>
      <c r="CU75" s="56">
        <v>0.20208333333333331</v>
      </c>
      <c r="CV75" s="56">
        <v>0.92569444444444438</v>
      </c>
      <c r="CW75" s="56">
        <v>0.23124999999999998</v>
      </c>
      <c r="CX75" s="56">
        <v>0.89722222222222225</v>
      </c>
      <c r="CY75" s="57" t="s">
        <v>678</v>
      </c>
      <c r="CZ75" s="62">
        <v>94.501999999999995</v>
      </c>
      <c r="DB75" s="61">
        <v>10</v>
      </c>
      <c r="DC75" s="53" t="s">
        <v>795</v>
      </c>
      <c r="DD75" s="53" t="s">
        <v>796</v>
      </c>
      <c r="DE75" s="54">
        <v>0.58196759259259256</v>
      </c>
      <c r="DF75" s="53" t="s">
        <v>797</v>
      </c>
      <c r="DG75" s="55">
        <v>0.19930555555555554</v>
      </c>
      <c r="DH75" s="56">
        <v>0.9277777777777777</v>
      </c>
      <c r="DI75" s="56">
        <v>0.22708333333333333</v>
      </c>
      <c r="DJ75" s="56">
        <v>0.90069444444444446</v>
      </c>
      <c r="DK75" s="56">
        <v>0.25208333333333333</v>
      </c>
      <c r="DL75" s="56">
        <v>0.87569444444444444</v>
      </c>
      <c r="DM75" s="57" t="s">
        <v>798</v>
      </c>
      <c r="DN75" s="62">
        <v>94.212999999999994</v>
      </c>
      <c r="DP75" s="59">
        <v>9</v>
      </c>
      <c r="DQ75" s="48" t="s">
        <v>903</v>
      </c>
      <c r="DR75" s="48" t="s">
        <v>904</v>
      </c>
      <c r="DS75" s="49">
        <v>0.5296643518518519</v>
      </c>
      <c r="DT75" s="48" t="s">
        <v>898</v>
      </c>
      <c r="DU75" s="50">
        <v>0.22777777777777777</v>
      </c>
      <c r="DV75" s="51">
        <v>0.8881944444444444</v>
      </c>
      <c r="DW75" s="51">
        <v>0.25138888888888888</v>
      </c>
      <c r="DX75" s="51">
        <v>0.86458333333333337</v>
      </c>
      <c r="DY75" s="51">
        <v>0.27430555555555552</v>
      </c>
      <c r="DZ75" s="51">
        <v>0.84236111111111101</v>
      </c>
      <c r="EA75" s="52" t="s">
        <v>905</v>
      </c>
      <c r="EB75" s="60">
        <v>93.605000000000004</v>
      </c>
      <c r="ED75" s="61">
        <v>10</v>
      </c>
      <c r="EE75" s="53" t="s">
        <v>999</v>
      </c>
      <c r="EF75" s="53" t="s">
        <v>1000</v>
      </c>
      <c r="EG75" s="54">
        <v>0.47219907407407408</v>
      </c>
      <c r="EH75" s="53" t="s">
        <v>898</v>
      </c>
      <c r="EI75" s="55">
        <v>0.25208333333333333</v>
      </c>
      <c r="EJ75" s="56">
        <v>0.85</v>
      </c>
      <c r="EK75" s="56">
        <v>0.27361111111111108</v>
      </c>
      <c r="EL75" s="56">
        <v>0.82847222222222217</v>
      </c>
      <c r="EM75" s="56">
        <v>0.29583333333333334</v>
      </c>
      <c r="EN75" s="56">
        <v>0.80625000000000002</v>
      </c>
      <c r="EO75" s="57" t="s">
        <v>1001</v>
      </c>
      <c r="EP75" s="62">
        <v>92.799000000000007</v>
      </c>
      <c r="ER75" s="61">
        <v>9</v>
      </c>
      <c r="ES75" s="53" t="s">
        <v>1092</v>
      </c>
      <c r="ET75" s="53" t="s">
        <v>1093</v>
      </c>
      <c r="EU75" s="54">
        <v>0.42097222222222225</v>
      </c>
      <c r="EV75" s="53" t="s">
        <v>1094</v>
      </c>
      <c r="EW75" s="55">
        <v>0.23194444444444443</v>
      </c>
      <c r="EX75" s="56">
        <v>0.78333333333333333</v>
      </c>
      <c r="EY75" s="56">
        <v>0.25416666666666665</v>
      </c>
      <c r="EZ75" s="56">
        <v>0.76111111111111107</v>
      </c>
      <c r="FA75" s="56">
        <v>0.27708333333333335</v>
      </c>
      <c r="FB75" s="56">
        <v>0.73819444444444438</v>
      </c>
      <c r="FC75" s="57" t="s">
        <v>1095</v>
      </c>
      <c r="FD75" s="62">
        <v>92.052999999999997</v>
      </c>
      <c r="FF75" s="61">
        <v>10</v>
      </c>
      <c r="FG75" s="53" t="s">
        <v>1192</v>
      </c>
      <c r="FH75" s="53" t="s">
        <v>1180</v>
      </c>
      <c r="FI75" s="54">
        <v>0.38800925925925928</v>
      </c>
      <c r="FJ75" s="53" t="s">
        <v>1193</v>
      </c>
      <c r="FK75" s="55">
        <v>0.25138888888888888</v>
      </c>
      <c r="FL75" s="56">
        <v>0.77638888888888891</v>
      </c>
      <c r="FM75" s="56">
        <v>0.27499999999999997</v>
      </c>
      <c r="FN75" s="56">
        <v>0.75347222222222221</v>
      </c>
      <c r="FO75" s="56">
        <v>0.2986111111111111</v>
      </c>
      <c r="FP75" s="56">
        <v>0.72916666666666663</v>
      </c>
      <c r="FQ75" s="57" t="s">
        <v>1194</v>
      </c>
      <c r="FR75" s="62">
        <v>91.531000000000006</v>
      </c>
    </row>
    <row r="76" spans="1:174" ht="20.25" thickBot="1" x14ac:dyDescent="0.3">
      <c r="A76">
        <v>9</v>
      </c>
      <c r="B76">
        <v>28</v>
      </c>
      <c r="C76" s="59">
        <v>11</v>
      </c>
      <c r="D76" s="48" t="s">
        <v>79</v>
      </c>
      <c r="E76" s="48" t="s">
        <v>92</v>
      </c>
      <c r="F76" s="70">
        <v>0.39506944444444447</v>
      </c>
      <c r="G76" s="48" t="s">
        <v>93</v>
      </c>
      <c r="H76" s="50">
        <v>0.2590277777777778</v>
      </c>
      <c r="I76" s="51">
        <v>0.7895833333333333</v>
      </c>
      <c r="J76" s="51">
        <v>0.28194444444444444</v>
      </c>
      <c r="K76" s="51">
        <v>0.76666666666666661</v>
      </c>
      <c r="L76" s="51">
        <v>0.30555555555555552</v>
      </c>
      <c r="M76" s="51">
        <v>0.74305555555555547</v>
      </c>
      <c r="N76" s="52" t="s">
        <v>94</v>
      </c>
      <c r="O76" s="60">
        <v>91.42</v>
      </c>
      <c r="Q76" s="59">
        <v>9</v>
      </c>
      <c r="R76" s="59"/>
      <c r="S76" s="48" t="s">
        <v>203</v>
      </c>
      <c r="T76" s="48" t="s">
        <v>204</v>
      </c>
      <c r="U76" s="49">
        <v>0.43407407407407406</v>
      </c>
      <c r="V76" s="48" t="s">
        <v>205</v>
      </c>
      <c r="W76" s="50">
        <v>0.24722222222222223</v>
      </c>
      <c r="X76" s="51">
        <v>0.81041666666666667</v>
      </c>
      <c r="Y76" s="51">
        <v>0.26944444444444443</v>
      </c>
      <c r="Z76" s="51">
        <v>0.78819444444444453</v>
      </c>
      <c r="AA76" s="51">
        <v>0.29236111111111113</v>
      </c>
      <c r="AB76" s="51">
        <v>0.76597222222222217</v>
      </c>
      <c r="AC76" s="52" t="s">
        <v>206</v>
      </c>
      <c r="AD76" s="91"/>
      <c r="AE76" s="91"/>
      <c r="AF76" s="91"/>
      <c r="AG76" s="91"/>
      <c r="AH76" s="60">
        <v>91.713999999999999</v>
      </c>
      <c r="AJ76" s="61">
        <v>12</v>
      </c>
      <c r="AK76" s="53" t="s">
        <v>319</v>
      </c>
      <c r="AL76" s="53" t="s">
        <v>320</v>
      </c>
      <c r="AM76" s="54">
        <v>0.49204861111111109</v>
      </c>
      <c r="AN76" s="53" t="s">
        <v>321</v>
      </c>
      <c r="AO76" s="55">
        <v>0.21666666666666667</v>
      </c>
      <c r="AP76" s="56">
        <v>0.8354166666666667</v>
      </c>
      <c r="AQ76" s="56">
        <v>0.2388888888888889</v>
      </c>
      <c r="AR76" s="56">
        <v>0.8125</v>
      </c>
      <c r="AS76" s="56">
        <v>0.26041666666666669</v>
      </c>
      <c r="AT76" s="56">
        <v>0.7909722222222223</v>
      </c>
      <c r="AU76" s="57" t="s">
        <v>322</v>
      </c>
      <c r="AV76" s="62">
        <v>92.391000000000005</v>
      </c>
      <c r="AW76" s="61">
        <v>10</v>
      </c>
      <c r="AX76" s="53" t="s">
        <v>409</v>
      </c>
      <c r="AY76" s="53" t="s">
        <v>410</v>
      </c>
      <c r="AZ76" s="54">
        <v>0.54637731481481489</v>
      </c>
      <c r="BA76" s="53" t="s">
        <v>263</v>
      </c>
      <c r="BB76" s="55">
        <v>0.22152777777777777</v>
      </c>
      <c r="BC76" s="56">
        <v>0.90208333333333324</v>
      </c>
      <c r="BD76" s="56">
        <v>0.24583333333333335</v>
      </c>
      <c r="BE76" s="56">
        <v>0.87777777777777777</v>
      </c>
      <c r="BF76" s="56">
        <v>0.26874999999999999</v>
      </c>
      <c r="BG76" s="56">
        <v>0.85416666666666663</v>
      </c>
      <c r="BH76" s="57" t="s">
        <v>411</v>
      </c>
      <c r="BI76" s="62">
        <v>93.153999999999996</v>
      </c>
      <c r="BL76" s="59">
        <v>11</v>
      </c>
      <c r="BM76" s="48" t="s">
        <v>509</v>
      </c>
      <c r="BN76" s="48" t="s">
        <v>510</v>
      </c>
      <c r="BO76" s="49">
        <v>0.59781249999999997</v>
      </c>
      <c r="BP76" s="48" t="s">
        <v>157</v>
      </c>
      <c r="BQ76" s="50">
        <v>0.18263888888888891</v>
      </c>
      <c r="BR76" s="51">
        <v>0.93472222222222223</v>
      </c>
      <c r="BS76" s="51">
        <v>0.21180555555555555</v>
      </c>
      <c r="BT76" s="51">
        <v>0.90486111111111101</v>
      </c>
      <c r="BU76" s="51">
        <v>0.23819444444444446</v>
      </c>
      <c r="BV76" s="51">
        <v>0.87847222222222221</v>
      </c>
      <c r="BW76" s="52" t="s">
        <v>511</v>
      </c>
      <c r="BX76" s="60">
        <v>93.906000000000006</v>
      </c>
      <c r="BZ76" s="61">
        <v>10</v>
      </c>
      <c r="CA76" s="53" t="s">
        <v>605</v>
      </c>
      <c r="CB76" s="53" t="s">
        <v>606</v>
      </c>
      <c r="CC76" s="54">
        <v>0.62695601851851845</v>
      </c>
      <c r="CD76" s="53" t="s">
        <v>608</v>
      </c>
      <c r="CE76" s="55">
        <v>0.15972222222222224</v>
      </c>
      <c r="CF76" s="56">
        <v>0.96111111111111114</v>
      </c>
      <c r="CG76" s="56">
        <v>0.19444444444444445</v>
      </c>
      <c r="CH76" s="56">
        <v>0.92638888888888893</v>
      </c>
      <c r="CI76" s="56">
        <v>0.22361111111111109</v>
      </c>
      <c r="CJ76" s="56">
        <v>0.8965277777777777</v>
      </c>
      <c r="CK76" s="57" t="s">
        <v>609</v>
      </c>
      <c r="CL76" s="62">
        <v>94.385999999999996</v>
      </c>
      <c r="CN76" s="59">
        <v>11</v>
      </c>
      <c r="CO76" s="48" t="s">
        <v>679</v>
      </c>
      <c r="CP76" s="48" t="s">
        <v>680</v>
      </c>
      <c r="CQ76" s="49">
        <v>0.62005787037037041</v>
      </c>
      <c r="CR76" s="48" t="s">
        <v>681</v>
      </c>
      <c r="CS76" s="50">
        <v>0.16944444444444443</v>
      </c>
      <c r="CT76" s="51">
        <v>0.95833333333333337</v>
      </c>
      <c r="CU76" s="51">
        <v>0.20277777777777781</v>
      </c>
      <c r="CV76" s="51">
        <v>0.92569444444444438</v>
      </c>
      <c r="CW76" s="51">
        <v>0.23124999999999998</v>
      </c>
      <c r="CX76" s="51">
        <v>0.89722222222222225</v>
      </c>
      <c r="CY76" s="52" t="s">
        <v>682</v>
      </c>
      <c r="CZ76" s="60">
        <v>94.498999999999995</v>
      </c>
      <c r="DB76" s="59">
        <v>11</v>
      </c>
      <c r="DC76" s="48" t="s">
        <v>799</v>
      </c>
      <c r="DD76" s="48" t="s">
        <v>800</v>
      </c>
      <c r="DE76" s="49">
        <v>0.58037037037037031</v>
      </c>
      <c r="DF76" s="48" t="s">
        <v>801</v>
      </c>
      <c r="DG76" s="50">
        <v>0.20069444444444443</v>
      </c>
      <c r="DH76" s="51">
        <v>0.92638888888888893</v>
      </c>
      <c r="DI76" s="51">
        <v>0.22777777777777777</v>
      </c>
      <c r="DJ76" s="51">
        <v>0.89930555555555547</v>
      </c>
      <c r="DK76" s="51">
        <v>0.25277777777777777</v>
      </c>
      <c r="DL76" s="51">
        <v>0.87430555555555556</v>
      </c>
      <c r="DM76" s="52" t="s">
        <v>802</v>
      </c>
      <c r="DN76" s="60">
        <v>94.195999999999998</v>
      </c>
      <c r="DP76" s="61">
        <v>10</v>
      </c>
      <c r="DQ76" s="53" t="s">
        <v>906</v>
      </c>
      <c r="DR76" s="53" t="s">
        <v>907</v>
      </c>
      <c r="DS76" s="54">
        <v>0.52782407407407406</v>
      </c>
      <c r="DT76" s="53" t="s">
        <v>898</v>
      </c>
      <c r="DU76" s="55">
        <v>0.22847222222222222</v>
      </c>
      <c r="DV76" s="56">
        <v>0.88680555555555562</v>
      </c>
      <c r="DW76" s="56">
        <v>0.25208333333333333</v>
      </c>
      <c r="DX76" s="56">
        <v>0.86388888888888893</v>
      </c>
      <c r="DY76" s="56">
        <v>0.27499999999999997</v>
      </c>
      <c r="DZ76" s="56">
        <v>0.84097222222222223</v>
      </c>
      <c r="EA76" s="57" t="s">
        <v>908</v>
      </c>
      <c r="EB76" s="62">
        <v>93.58</v>
      </c>
      <c r="ED76" s="59">
        <v>11</v>
      </c>
      <c r="EE76" s="48" t="s">
        <v>1002</v>
      </c>
      <c r="EF76" s="48" t="s">
        <v>1003</v>
      </c>
      <c r="EG76" s="49">
        <v>0.47037037037037038</v>
      </c>
      <c r="EH76" s="48" t="s">
        <v>898</v>
      </c>
      <c r="EI76" s="50">
        <v>0.25277777777777777</v>
      </c>
      <c r="EJ76" s="51">
        <v>0.84930555555555554</v>
      </c>
      <c r="EK76" s="51">
        <v>0.27430555555555552</v>
      </c>
      <c r="EL76" s="51">
        <v>0.82708333333333339</v>
      </c>
      <c r="EM76" s="51">
        <v>0.29652777777777778</v>
      </c>
      <c r="EN76" s="51">
        <v>0.80486111111111114</v>
      </c>
      <c r="EO76" s="52" t="s">
        <v>1004</v>
      </c>
      <c r="EP76" s="60">
        <v>92.772000000000006</v>
      </c>
      <c r="ER76" s="59">
        <v>10</v>
      </c>
      <c r="ES76" s="48" t="s">
        <v>1096</v>
      </c>
      <c r="ET76" s="48" t="s">
        <v>1097</v>
      </c>
      <c r="EU76" s="49">
        <v>0.41946759259259259</v>
      </c>
      <c r="EV76" s="48" t="s">
        <v>777</v>
      </c>
      <c r="EW76" s="50">
        <v>0.23263888888888887</v>
      </c>
      <c r="EX76" s="51">
        <v>0.78263888888888899</v>
      </c>
      <c r="EY76" s="51">
        <v>0.25486111111111109</v>
      </c>
      <c r="EZ76" s="51">
        <v>0.76041666666666663</v>
      </c>
      <c r="FA76" s="51">
        <v>0.27777777777777779</v>
      </c>
      <c r="FB76" s="51">
        <v>0.73749999999999993</v>
      </c>
      <c r="FC76" s="52" t="s">
        <v>1098</v>
      </c>
      <c r="FD76" s="60">
        <v>92.031000000000006</v>
      </c>
      <c r="FF76" s="59">
        <v>11</v>
      </c>
      <c r="FG76" s="48" t="s">
        <v>1195</v>
      </c>
      <c r="FH76" s="48" t="s">
        <v>1196</v>
      </c>
      <c r="FI76" s="49">
        <v>0.38754629629629633</v>
      </c>
      <c r="FJ76" s="48" t="s">
        <v>1197</v>
      </c>
      <c r="FK76" s="50">
        <v>0.25208333333333333</v>
      </c>
      <c r="FL76" s="51">
        <v>0.77638888888888891</v>
      </c>
      <c r="FM76" s="51">
        <v>0.27499999999999997</v>
      </c>
      <c r="FN76" s="51">
        <v>0.75347222222222221</v>
      </c>
      <c r="FO76" s="51">
        <v>0.29930555555555555</v>
      </c>
      <c r="FP76" s="51">
        <v>0.72916666666666663</v>
      </c>
      <c r="FQ76" s="52" t="s">
        <v>1198</v>
      </c>
      <c r="FR76" s="60">
        <v>91.52</v>
      </c>
    </row>
    <row r="77" spans="1:174" ht="20.25" thickBot="1" x14ac:dyDescent="0.3">
      <c r="A77">
        <v>9</v>
      </c>
      <c r="B77">
        <v>30</v>
      </c>
      <c r="C77" s="61">
        <v>12</v>
      </c>
      <c r="D77" s="53" t="s">
        <v>95</v>
      </c>
      <c r="E77" s="53" t="s">
        <v>96</v>
      </c>
      <c r="F77" s="71">
        <v>0.39599537037037041</v>
      </c>
      <c r="G77" s="53" t="s">
        <v>97</v>
      </c>
      <c r="H77" s="55">
        <v>0.2590277777777778</v>
      </c>
      <c r="I77" s="56">
        <v>0.79027777777777775</v>
      </c>
      <c r="J77" s="56">
        <v>0.28194444444444444</v>
      </c>
      <c r="K77" s="56">
        <v>0.76736111111111116</v>
      </c>
      <c r="L77" s="56">
        <v>0.30555555555555552</v>
      </c>
      <c r="M77" s="56">
        <v>0.74375000000000002</v>
      </c>
      <c r="N77" s="57" t="s">
        <v>98</v>
      </c>
      <c r="O77" s="62">
        <v>91.423000000000002</v>
      </c>
      <c r="Q77" s="61">
        <v>10</v>
      </c>
      <c r="R77" s="98"/>
      <c r="S77" s="53" t="s">
        <v>207</v>
      </c>
      <c r="T77" s="53" t="s">
        <v>208</v>
      </c>
      <c r="U77" s="54">
        <v>0.4357523148148148</v>
      </c>
      <c r="V77" s="53" t="s">
        <v>209</v>
      </c>
      <c r="W77" s="55">
        <v>0.24652777777777779</v>
      </c>
      <c r="X77" s="56">
        <v>0.81111111111111101</v>
      </c>
      <c r="Y77" s="56">
        <v>0.26874999999999999</v>
      </c>
      <c r="Z77" s="56">
        <v>0.78888888888888886</v>
      </c>
      <c r="AA77" s="56">
        <v>0.29097222222222224</v>
      </c>
      <c r="AB77" s="56">
        <v>0.76666666666666661</v>
      </c>
      <c r="AC77" s="57" t="s">
        <v>210</v>
      </c>
      <c r="AD77" s="92"/>
      <c r="AE77" s="92"/>
      <c r="AF77" s="92"/>
      <c r="AG77" s="92"/>
      <c r="AH77" s="62">
        <v>91.73</v>
      </c>
      <c r="AJ77" s="167" t="s">
        <v>323</v>
      </c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9"/>
      <c r="AW77" s="59">
        <v>11</v>
      </c>
      <c r="AX77" s="48" t="s">
        <v>412</v>
      </c>
      <c r="AY77" s="48" t="s">
        <v>413</v>
      </c>
      <c r="AZ77" s="49">
        <v>0.54819444444444443</v>
      </c>
      <c r="BA77" s="48" t="s">
        <v>263</v>
      </c>
      <c r="BB77" s="50">
        <v>0.22013888888888888</v>
      </c>
      <c r="BC77" s="51">
        <v>0.90277777777777779</v>
      </c>
      <c r="BD77" s="51">
        <v>0.24444444444444446</v>
      </c>
      <c r="BE77" s="51">
        <v>0.87847222222222221</v>
      </c>
      <c r="BF77" s="51">
        <v>0.2673611111111111</v>
      </c>
      <c r="BG77" s="51">
        <v>0.85486111111111107</v>
      </c>
      <c r="BH77" s="52" t="s">
        <v>414</v>
      </c>
      <c r="BI77" s="60">
        <v>93.18</v>
      </c>
      <c r="BL77" s="61">
        <v>12</v>
      </c>
      <c r="BM77" s="53" t="s">
        <v>512</v>
      </c>
      <c r="BN77" s="53" t="s">
        <v>513</v>
      </c>
      <c r="BO77" s="54">
        <v>0.59921296296296289</v>
      </c>
      <c r="BP77" s="53" t="s">
        <v>514</v>
      </c>
      <c r="BQ77" s="55">
        <v>0.18124999999999999</v>
      </c>
      <c r="BR77" s="56">
        <v>0.93541666666666667</v>
      </c>
      <c r="BS77" s="56">
        <v>0.21041666666666667</v>
      </c>
      <c r="BT77" s="56">
        <v>0.90555555555555556</v>
      </c>
      <c r="BU77" s="56">
        <v>0.23680555555555557</v>
      </c>
      <c r="BV77" s="56">
        <v>0.87916666666666676</v>
      </c>
      <c r="BW77" s="57" t="s">
        <v>515</v>
      </c>
      <c r="BX77" s="62">
        <v>93.926000000000002</v>
      </c>
      <c r="BZ77" s="59">
        <v>11</v>
      </c>
      <c r="CA77" s="48" t="s">
        <v>605</v>
      </c>
      <c r="CB77" s="48" t="s">
        <v>610</v>
      </c>
      <c r="CC77" s="49">
        <v>0.62737268518518519</v>
      </c>
      <c r="CD77" s="48" t="s">
        <v>611</v>
      </c>
      <c r="CE77" s="50">
        <v>0.15972222222222224</v>
      </c>
      <c r="CF77" s="51">
        <v>0.96111111111111114</v>
      </c>
      <c r="CG77" s="51">
        <v>0.19444444444444445</v>
      </c>
      <c r="CH77" s="51">
        <v>0.92638888888888893</v>
      </c>
      <c r="CI77" s="51">
        <v>0.22361111111111109</v>
      </c>
      <c r="CJ77" s="51">
        <v>0.89722222222222225</v>
      </c>
      <c r="CK77" s="52" t="s">
        <v>612</v>
      </c>
      <c r="CL77" s="60">
        <v>94.394999999999996</v>
      </c>
      <c r="CN77" s="61">
        <v>12</v>
      </c>
      <c r="CO77" s="53" t="s">
        <v>683</v>
      </c>
      <c r="CP77" s="53" t="s">
        <v>684</v>
      </c>
      <c r="CQ77" s="54">
        <v>0.61918981481481483</v>
      </c>
      <c r="CR77" s="53" t="s">
        <v>685</v>
      </c>
      <c r="CS77" s="55">
        <v>0.17083333333333331</v>
      </c>
      <c r="CT77" s="56">
        <v>0.95763888888888893</v>
      </c>
      <c r="CU77" s="56">
        <v>0.20347222222222219</v>
      </c>
      <c r="CV77" s="56">
        <v>0.92499999999999993</v>
      </c>
      <c r="CW77" s="56">
        <v>0.23194444444444443</v>
      </c>
      <c r="CX77" s="56">
        <v>0.8965277777777777</v>
      </c>
      <c r="CY77" s="57" t="s">
        <v>686</v>
      </c>
      <c r="CZ77" s="62">
        <v>94.495000000000005</v>
      </c>
      <c r="DB77" s="61">
        <v>12</v>
      </c>
      <c r="DC77" s="53" t="s">
        <v>803</v>
      </c>
      <c r="DD77" s="53" t="s">
        <v>804</v>
      </c>
      <c r="DE77" s="54">
        <v>0.57874999999999999</v>
      </c>
      <c r="DF77" s="53" t="s">
        <v>805</v>
      </c>
      <c r="DG77" s="55">
        <v>0.20138888888888887</v>
      </c>
      <c r="DH77" s="56">
        <v>0.92569444444444438</v>
      </c>
      <c r="DI77" s="56">
        <v>0.22847222222222222</v>
      </c>
      <c r="DJ77" s="56">
        <v>0.89861111111111114</v>
      </c>
      <c r="DK77" s="56">
        <v>0.25347222222222221</v>
      </c>
      <c r="DL77" s="56">
        <v>0.87361111111111101</v>
      </c>
      <c r="DM77" s="57" t="s">
        <v>806</v>
      </c>
      <c r="DN77" s="62">
        <v>94.18</v>
      </c>
      <c r="DP77" s="59">
        <v>11</v>
      </c>
      <c r="DQ77" s="48" t="s">
        <v>909</v>
      </c>
      <c r="DR77" s="48" t="s">
        <v>910</v>
      </c>
      <c r="DS77" s="49">
        <v>0.52598379629629632</v>
      </c>
      <c r="DT77" s="48" t="s">
        <v>911</v>
      </c>
      <c r="DU77" s="50">
        <v>0.22916666666666666</v>
      </c>
      <c r="DV77" s="51">
        <v>0.88541666666666663</v>
      </c>
      <c r="DW77" s="51">
        <v>0.25277777777777777</v>
      </c>
      <c r="DX77" s="51">
        <v>0.86249999999999993</v>
      </c>
      <c r="DY77" s="51">
        <v>0.27569444444444446</v>
      </c>
      <c r="DZ77" s="51">
        <v>0.83958333333333324</v>
      </c>
      <c r="EA77" s="52" t="s">
        <v>912</v>
      </c>
      <c r="EB77" s="60">
        <v>93.555999999999997</v>
      </c>
      <c r="ED77" s="61">
        <v>12</v>
      </c>
      <c r="EE77" s="53" t="s">
        <v>1005</v>
      </c>
      <c r="EF77" s="53" t="s">
        <v>1006</v>
      </c>
      <c r="EG77" s="54">
        <v>0.46854166666666663</v>
      </c>
      <c r="EH77" s="53" t="s">
        <v>888</v>
      </c>
      <c r="EI77" s="55">
        <v>0.25347222222222221</v>
      </c>
      <c r="EJ77" s="56">
        <v>0.84791666666666676</v>
      </c>
      <c r="EK77" s="56">
        <v>0.27499999999999997</v>
      </c>
      <c r="EL77" s="56">
        <v>0.82638888888888884</v>
      </c>
      <c r="EM77" s="56">
        <v>0.29722222222222222</v>
      </c>
      <c r="EN77" s="56">
        <v>0.8041666666666667</v>
      </c>
      <c r="EO77" s="57" t="s">
        <v>1007</v>
      </c>
      <c r="EP77" s="62">
        <v>92.745000000000005</v>
      </c>
      <c r="ER77" s="61">
        <v>11</v>
      </c>
      <c r="ES77" s="53" t="s">
        <v>1099</v>
      </c>
      <c r="ET77" s="53" t="s">
        <v>1100</v>
      </c>
      <c r="EU77" s="54">
        <v>0.41799768518518521</v>
      </c>
      <c r="EV77" s="53" t="s">
        <v>773</v>
      </c>
      <c r="EW77" s="55">
        <v>0.23333333333333331</v>
      </c>
      <c r="EX77" s="56">
        <v>0.78194444444444444</v>
      </c>
      <c r="EY77" s="56">
        <v>0.25555555555555559</v>
      </c>
      <c r="EZ77" s="56">
        <v>0.7597222222222223</v>
      </c>
      <c r="FA77" s="56">
        <v>0.27847222222222223</v>
      </c>
      <c r="FB77" s="56">
        <v>0.7368055555555556</v>
      </c>
      <c r="FC77" s="57" t="s">
        <v>1101</v>
      </c>
      <c r="FD77" s="62">
        <v>92.009</v>
      </c>
      <c r="FF77" s="61">
        <v>12</v>
      </c>
      <c r="FG77" s="53" t="s">
        <v>1195</v>
      </c>
      <c r="FH77" s="53" t="s">
        <v>1196</v>
      </c>
      <c r="FI77" s="54">
        <v>0.38711805555555556</v>
      </c>
      <c r="FJ77" s="53" t="s">
        <v>1199</v>
      </c>
      <c r="FK77" s="55">
        <v>0.25277777777777777</v>
      </c>
      <c r="FL77" s="56">
        <v>0.77638888888888891</v>
      </c>
      <c r="FM77" s="56">
        <v>0.27569444444444446</v>
      </c>
      <c r="FN77" s="56">
        <v>0.75347222222222221</v>
      </c>
      <c r="FO77" s="56">
        <v>0.29930555555555555</v>
      </c>
      <c r="FP77" s="56">
        <v>0.72986111111111107</v>
      </c>
      <c r="FQ77" s="57" t="s">
        <v>1200</v>
      </c>
      <c r="FR77" s="62">
        <v>91.509</v>
      </c>
    </row>
    <row r="78" spans="1:174" ht="20.25" thickBot="1" x14ac:dyDescent="0.3">
      <c r="A78">
        <v>9</v>
      </c>
      <c r="B78">
        <v>31</v>
      </c>
      <c r="C78" s="59">
        <v>13</v>
      </c>
      <c r="D78" s="48" t="s">
        <v>95</v>
      </c>
      <c r="E78" s="48" t="s">
        <v>99</v>
      </c>
      <c r="F78" s="70">
        <v>0.39696759259259262</v>
      </c>
      <c r="G78" s="48" t="s">
        <v>100</v>
      </c>
      <c r="H78" s="50">
        <v>0.2590277777777778</v>
      </c>
      <c r="I78" s="51">
        <v>0.7909722222222223</v>
      </c>
      <c r="J78" s="51">
        <v>0.28194444444444444</v>
      </c>
      <c r="K78" s="51">
        <v>0.7680555555555556</v>
      </c>
      <c r="L78" s="51">
        <v>0.30555555555555552</v>
      </c>
      <c r="M78" s="51">
        <v>0.74444444444444446</v>
      </c>
      <c r="N78" s="52" t="s">
        <v>101</v>
      </c>
      <c r="O78" s="60">
        <v>91.427000000000007</v>
      </c>
      <c r="Q78" s="59">
        <v>11</v>
      </c>
      <c r="R78" s="59"/>
      <c r="S78" s="48" t="s">
        <v>211</v>
      </c>
      <c r="T78" s="48" t="s">
        <v>212</v>
      </c>
      <c r="U78" s="49">
        <v>0.43744212962962964</v>
      </c>
      <c r="V78" s="48" t="s">
        <v>213</v>
      </c>
      <c r="W78" s="50">
        <v>0.24583333333333335</v>
      </c>
      <c r="X78" s="51">
        <v>0.81180555555555556</v>
      </c>
      <c r="Y78" s="51">
        <v>0.26805555555555555</v>
      </c>
      <c r="Z78" s="51">
        <v>0.7895833333333333</v>
      </c>
      <c r="AA78" s="51">
        <v>0.2902777777777778</v>
      </c>
      <c r="AB78" s="51">
        <v>0.76736111111111116</v>
      </c>
      <c r="AC78" s="52" t="s">
        <v>214</v>
      </c>
      <c r="AD78" s="91"/>
      <c r="AE78" s="91"/>
      <c r="AF78" s="91"/>
      <c r="AG78" s="91"/>
      <c r="AH78" s="60">
        <v>91.745999999999995</v>
      </c>
      <c r="AJ78" s="61">
        <v>13</v>
      </c>
      <c r="AK78" s="53" t="s">
        <v>324</v>
      </c>
      <c r="AL78" s="53" t="s">
        <v>325</v>
      </c>
      <c r="AM78" s="54">
        <v>0.49394675925925924</v>
      </c>
      <c r="AN78" s="53" t="s">
        <v>321</v>
      </c>
      <c r="AO78" s="55">
        <v>0.25694444444444448</v>
      </c>
      <c r="AP78" s="56">
        <v>0.87777777777777777</v>
      </c>
      <c r="AQ78" s="56">
        <v>0.27916666666666667</v>
      </c>
      <c r="AR78" s="56">
        <v>0.85486111111111107</v>
      </c>
      <c r="AS78" s="56">
        <v>0.30138888888888887</v>
      </c>
      <c r="AT78" s="56">
        <v>0.83333333333333337</v>
      </c>
      <c r="AU78" s="57" t="s">
        <v>326</v>
      </c>
      <c r="AV78" s="62">
        <v>92.415000000000006</v>
      </c>
      <c r="AW78" s="61">
        <v>12</v>
      </c>
      <c r="AX78" s="53" t="s">
        <v>415</v>
      </c>
      <c r="AY78" s="53" t="s">
        <v>416</v>
      </c>
      <c r="AZ78" s="54">
        <v>0.55001157407407408</v>
      </c>
      <c r="BA78" s="53" t="s">
        <v>259</v>
      </c>
      <c r="BB78" s="55">
        <v>0.21875</v>
      </c>
      <c r="BC78" s="56">
        <v>0.90416666666666667</v>
      </c>
      <c r="BD78" s="56">
        <v>0.24305555555555555</v>
      </c>
      <c r="BE78" s="56">
        <v>0.87916666666666676</v>
      </c>
      <c r="BF78" s="56">
        <v>0.26666666666666666</v>
      </c>
      <c r="BG78" s="56">
        <v>0.85555555555555562</v>
      </c>
      <c r="BH78" s="57" t="s">
        <v>417</v>
      </c>
      <c r="BI78" s="62">
        <v>93.206000000000003</v>
      </c>
      <c r="BL78" s="59">
        <v>13</v>
      </c>
      <c r="BM78" s="48" t="s">
        <v>516</v>
      </c>
      <c r="BN78" s="48" t="s">
        <v>517</v>
      </c>
      <c r="BO78" s="49">
        <v>0.60059027777777774</v>
      </c>
      <c r="BP78" s="48" t="s">
        <v>518</v>
      </c>
      <c r="BQ78" s="50">
        <v>0.17986111111111111</v>
      </c>
      <c r="BR78" s="51">
        <v>0.93680555555555556</v>
      </c>
      <c r="BS78" s="51">
        <v>0.20972222222222223</v>
      </c>
      <c r="BT78" s="51">
        <v>0.90694444444444444</v>
      </c>
      <c r="BU78" s="51">
        <v>0.23611111111111113</v>
      </c>
      <c r="BV78" s="51">
        <v>0.87986111111111109</v>
      </c>
      <c r="BW78" s="52" t="s">
        <v>519</v>
      </c>
      <c r="BX78" s="60">
        <v>93.945999999999998</v>
      </c>
      <c r="BZ78" s="61">
        <v>12</v>
      </c>
      <c r="CA78" s="53" t="s">
        <v>605</v>
      </c>
      <c r="CB78" s="53" t="s">
        <v>610</v>
      </c>
      <c r="CC78" s="54">
        <v>0.62774305555555554</v>
      </c>
      <c r="CD78" s="53" t="s">
        <v>613</v>
      </c>
      <c r="CE78" s="55">
        <v>0.15902777777777777</v>
      </c>
      <c r="CF78" s="56">
        <v>0.96180555555555547</v>
      </c>
      <c r="CG78" s="56">
        <v>0.19375000000000001</v>
      </c>
      <c r="CH78" s="56">
        <v>0.92708333333333337</v>
      </c>
      <c r="CI78" s="56">
        <v>0.22361111111111109</v>
      </c>
      <c r="CJ78" s="56">
        <v>0.8979166666666667</v>
      </c>
      <c r="CK78" s="57" t="s">
        <v>612</v>
      </c>
      <c r="CL78" s="62">
        <v>94.403999999999996</v>
      </c>
      <c r="CN78" s="59">
        <v>13</v>
      </c>
      <c r="CO78" s="48" t="s">
        <v>687</v>
      </c>
      <c r="CP78" s="48" t="s">
        <v>684</v>
      </c>
      <c r="CQ78" s="49">
        <v>0.61829861111111117</v>
      </c>
      <c r="CR78" s="48" t="s">
        <v>688</v>
      </c>
      <c r="CS78" s="50">
        <v>0.17152777777777775</v>
      </c>
      <c r="CT78" s="51">
        <v>0.95694444444444438</v>
      </c>
      <c r="CU78" s="51">
        <v>0.20416666666666669</v>
      </c>
      <c r="CV78" s="51">
        <v>0.9243055555555556</v>
      </c>
      <c r="CW78" s="51">
        <v>0.23263888888888887</v>
      </c>
      <c r="CX78" s="51">
        <v>0.89583333333333337</v>
      </c>
      <c r="CY78" s="52" t="s">
        <v>689</v>
      </c>
      <c r="CZ78" s="60">
        <v>94.491</v>
      </c>
      <c r="DB78" s="59">
        <v>13</v>
      </c>
      <c r="DC78" s="48" t="s">
        <v>807</v>
      </c>
      <c r="DD78" s="48" t="s">
        <v>808</v>
      </c>
      <c r="DE78" s="49">
        <v>0.57712962962962966</v>
      </c>
      <c r="DF78" s="48" t="s">
        <v>809</v>
      </c>
      <c r="DG78" s="50">
        <v>0.20277777777777781</v>
      </c>
      <c r="DH78" s="51">
        <v>0.9243055555555556</v>
      </c>
      <c r="DI78" s="51">
        <v>0.22916666666666666</v>
      </c>
      <c r="DJ78" s="51">
        <v>0.89722222222222225</v>
      </c>
      <c r="DK78" s="51">
        <v>0.25416666666666665</v>
      </c>
      <c r="DL78" s="51">
        <v>0.87222222222222223</v>
      </c>
      <c r="DM78" s="52" t="s">
        <v>810</v>
      </c>
      <c r="DN78" s="60">
        <v>94.162999999999997</v>
      </c>
      <c r="DP78" s="61">
        <v>12</v>
      </c>
      <c r="DQ78" s="53" t="s">
        <v>913</v>
      </c>
      <c r="DR78" s="53" t="s">
        <v>914</v>
      </c>
      <c r="DS78" s="54">
        <v>0.52413194444444444</v>
      </c>
      <c r="DT78" s="53" t="s">
        <v>911</v>
      </c>
      <c r="DU78" s="55">
        <v>0.23055555555555554</v>
      </c>
      <c r="DV78" s="56">
        <v>0.8847222222222223</v>
      </c>
      <c r="DW78" s="56">
        <v>0.25347222222222221</v>
      </c>
      <c r="DX78" s="56">
        <v>0.86111111111111116</v>
      </c>
      <c r="DY78" s="56">
        <v>0.27638888888888885</v>
      </c>
      <c r="DZ78" s="56">
        <v>0.83888888888888891</v>
      </c>
      <c r="EA78" s="57" t="s">
        <v>915</v>
      </c>
      <c r="EB78" s="62">
        <v>93.53</v>
      </c>
      <c r="ED78" s="59">
        <v>13</v>
      </c>
      <c r="EE78" s="48" t="s">
        <v>1008</v>
      </c>
      <c r="EF78" s="48" t="s">
        <v>1009</v>
      </c>
      <c r="EG78" s="49">
        <v>0.46672453703703703</v>
      </c>
      <c r="EH78" s="48" t="s">
        <v>888</v>
      </c>
      <c r="EI78" s="50">
        <v>0.25416666666666665</v>
      </c>
      <c r="EJ78" s="51">
        <v>0.84722222222222221</v>
      </c>
      <c r="EK78" s="51">
        <v>0.27569444444444446</v>
      </c>
      <c r="EL78" s="51">
        <v>0.82500000000000007</v>
      </c>
      <c r="EM78" s="51">
        <v>0.29791666666666666</v>
      </c>
      <c r="EN78" s="51">
        <v>0.8027777777777777</v>
      </c>
      <c r="EO78" s="52" t="s">
        <v>1010</v>
      </c>
      <c r="EP78" s="60">
        <v>92.718000000000004</v>
      </c>
      <c r="ER78" s="59">
        <v>12</v>
      </c>
      <c r="ES78" s="48" t="s">
        <v>1102</v>
      </c>
      <c r="ET78" s="48" t="s">
        <v>1103</v>
      </c>
      <c r="EU78" s="49">
        <v>0.41655092592592591</v>
      </c>
      <c r="EV78" s="48" t="s">
        <v>1104</v>
      </c>
      <c r="EW78" s="50">
        <v>0.23402777777777781</v>
      </c>
      <c r="EX78" s="51">
        <v>0.78125</v>
      </c>
      <c r="EY78" s="51">
        <v>0.25625000000000003</v>
      </c>
      <c r="EZ78" s="51">
        <v>0.75902777777777775</v>
      </c>
      <c r="FA78" s="51">
        <v>0.27916666666666667</v>
      </c>
      <c r="FB78" s="51">
        <v>0.73611111111111116</v>
      </c>
      <c r="FC78" s="52" t="s">
        <v>1105</v>
      </c>
      <c r="FD78" s="60">
        <v>91.986999999999995</v>
      </c>
      <c r="FF78" s="59">
        <v>13</v>
      </c>
      <c r="FG78" s="48" t="s">
        <v>1201</v>
      </c>
      <c r="FH78" s="48" t="s">
        <v>1202</v>
      </c>
      <c r="FI78" s="49">
        <v>0.38673611111111111</v>
      </c>
      <c r="FJ78" s="48" t="s">
        <v>1203</v>
      </c>
      <c r="FK78" s="50">
        <v>0.25277777777777777</v>
      </c>
      <c r="FL78" s="51">
        <v>0.77708333333333324</v>
      </c>
      <c r="FM78" s="51">
        <v>0.27638888888888885</v>
      </c>
      <c r="FN78" s="51">
        <v>0.75347222222222221</v>
      </c>
      <c r="FO78" s="51">
        <v>0.3</v>
      </c>
      <c r="FP78" s="51">
        <v>0.72986111111111107</v>
      </c>
      <c r="FQ78" s="52" t="s">
        <v>1204</v>
      </c>
      <c r="FR78" s="60">
        <v>91.498999999999995</v>
      </c>
    </row>
    <row r="79" spans="1:174" ht="20.25" thickBot="1" x14ac:dyDescent="0.3">
      <c r="A79">
        <v>9</v>
      </c>
      <c r="B79">
        <v>33</v>
      </c>
      <c r="C79" s="61">
        <v>14</v>
      </c>
      <c r="D79" s="53" t="s">
        <v>95</v>
      </c>
      <c r="E79" s="53" t="s">
        <v>102</v>
      </c>
      <c r="F79" s="71">
        <v>0.39796296296296302</v>
      </c>
      <c r="G79" s="53" t="s">
        <v>103</v>
      </c>
      <c r="H79" s="55">
        <v>0.2590277777777778</v>
      </c>
      <c r="I79" s="56">
        <v>0.79166666666666663</v>
      </c>
      <c r="J79" s="56">
        <v>0.28194444444444444</v>
      </c>
      <c r="K79" s="56">
        <v>0.76874999999999993</v>
      </c>
      <c r="L79" s="56">
        <v>0.30486111111111108</v>
      </c>
      <c r="M79" s="56">
        <v>0.74513888888888891</v>
      </c>
      <c r="N79" s="57" t="s">
        <v>104</v>
      </c>
      <c r="O79" s="62">
        <v>91.430999999999997</v>
      </c>
      <c r="Q79" s="61">
        <v>12</v>
      </c>
      <c r="R79" s="98"/>
      <c r="S79" s="53" t="s">
        <v>215</v>
      </c>
      <c r="T79" s="53" t="s">
        <v>216</v>
      </c>
      <c r="U79" s="54">
        <v>0.43914351851851857</v>
      </c>
      <c r="V79" s="53" t="s">
        <v>217</v>
      </c>
      <c r="W79" s="55">
        <v>0.24513888888888888</v>
      </c>
      <c r="X79" s="56">
        <v>0.8125</v>
      </c>
      <c r="Y79" s="56">
        <v>0.2673611111111111</v>
      </c>
      <c r="Z79" s="56">
        <v>0.79027777777777775</v>
      </c>
      <c r="AA79" s="56">
        <v>0.28958333333333336</v>
      </c>
      <c r="AB79" s="56">
        <v>0.7680555555555556</v>
      </c>
      <c r="AC79" s="57" t="s">
        <v>218</v>
      </c>
      <c r="AD79" s="92"/>
      <c r="AE79" s="92"/>
      <c r="AF79" s="92"/>
      <c r="AG79" s="92"/>
      <c r="AH79" s="62">
        <v>91.763000000000005</v>
      </c>
      <c r="AJ79" s="59">
        <v>14</v>
      </c>
      <c r="AK79" s="48" t="s">
        <v>327</v>
      </c>
      <c r="AL79" s="48" t="s">
        <v>328</v>
      </c>
      <c r="AM79" s="49">
        <v>0.49583333333333335</v>
      </c>
      <c r="AN79" s="48" t="s">
        <v>321</v>
      </c>
      <c r="AO79" s="50">
        <v>0.25555555555555559</v>
      </c>
      <c r="AP79" s="51">
        <v>0.87847222222222221</v>
      </c>
      <c r="AQ79" s="51">
        <v>0.27777777777777779</v>
      </c>
      <c r="AR79" s="51">
        <v>0.85625000000000007</v>
      </c>
      <c r="AS79" s="51">
        <v>0.3</v>
      </c>
      <c r="AT79" s="51">
        <v>0.8340277777777777</v>
      </c>
      <c r="AU79" s="52" t="s">
        <v>329</v>
      </c>
      <c r="AV79" s="60">
        <v>92.44</v>
      </c>
      <c r="AW79" s="59">
        <v>13</v>
      </c>
      <c r="AX79" s="48" t="s">
        <v>418</v>
      </c>
      <c r="AY79" s="48" t="s">
        <v>419</v>
      </c>
      <c r="AZ79" s="49">
        <v>0.55181712962962959</v>
      </c>
      <c r="BA79" s="48" t="s">
        <v>259</v>
      </c>
      <c r="BB79" s="50">
        <v>0.21736111111111112</v>
      </c>
      <c r="BC79" s="51">
        <v>0.90486111111111101</v>
      </c>
      <c r="BD79" s="51">
        <v>0.24166666666666667</v>
      </c>
      <c r="BE79" s="51">
        <v>0.87986111111111109</v>
      </c>
      <c r="BF79" s="51">
        <v>0.26527777777777778</v>
      </c>
      <c r="BG79" s="51">
        <v>0.85625000000000007</v>
      </c>
      <c r="BH79" s="52" t="s">
        <v>420</v>
      </c>
      <c r="BI79" s="60">
        <v>93.230999999999995</v>
      </c>
      <c r="BL79" s="61">
        <v>14</v>
      </c>
      <c r="BM79" s="53" t="s">
        <v>520</v>
      </c>
      <c r="BN79" s="53" t="s">
        <v>521</v>
      </c>
      <c r="BO79" s="54">
        <v>0.6019444444444445</v>
      </c>
      <c r="BP79" s="53" t="s">
        <v>522</v>
      </c>
      <c r="BQ79" s="55">
        <v>0.17916666666666667</v>
      </c>
      <c r="BR79" s="56">
        <v>0.9375</v>
      </c>
      <c r="BS79" s="56">
        <v>0.20902777777777778</v>
      </c>
      <c r="BT79" s="56">
        <v>0.90763888888888899</v>
      </c>
      <c r="BU79" s="56">
        <v>0.23541666666666669</v>
      </c>
      <c r="BV79" s="56">
        <v>0.88055555555555554</v>
      </c>
      <c r="BW79" s="57" t="s">
        <v>523</v>
      </c>
      <c r="BX79" s="62">
        <v>93.965999999999994</v>
      </c>
      <c r="BZ79" s="59">
        <v>13</v>
      </c>
      <c r="CA79" s="48" t="s">
        <v>605</v>
      </c>
      <c r="CB79" s="48" t="s">
        <v>614</v>
      </c>
      <c r="CC79" s="49">
        <v>0.62806712962962963</v>
      </c>
      <c r="CD79" s="48" t="s">
        <v>615</v>
      </c>
      <c r="CE79" s="50">
        <v>0.15902777777777777</v>
      </c>
      <c r="CF79" s="51">
        <v>0.96250000000000002</v>
      </c>
      <c r="CG79" s="51">
        <v>0.19375000000000001</v>
      </c>
      <c r="CH79" s="51">
        <v>0.9277777777777777</v>
      </c>
      <c r="CI79" s="51">
        <v>0.22361111111111109</v>
      </c>
      <c r="CJ79" s="51">
        <v>0.8979166666666667</v>
      </c>
      <c r="CK79" s="52" t="s">
        <v>616</v>
      </c>
      <c r="CL79" s="60">
        <v>94.412999999999997</v>
      </c>
      <c r="CN79" s="61">
        <v>14</v>
      </c>
      <c r="CO79" s="53" t="s">
        <v>687</v>
      </c>
      <c r="CP79" s="53" t="s">
        <v>690</v>
      </c>
      <c r="CQ79" s="54">
        <v>0.61736111111111114</v>
      </c>
      <c r="CR79" s="53" t="s">
        <v>691</v>
      </c>
      <c r="CS79" s="55">
        <v>0.17222222222222225</v>
      </c>
      <c r="CT79" s="56">
        <v>0.95624999999999993</v>
      </c>
      <c r="CU79" s="56">
        <v>0.20486111111111113</v>
      </c>
      <c r="CV79" s="56">
        <v>0.92361111111111116</v>
      </c>
      <c r="CW79" s="56">
        <v>0.23333333333333331</v>
      </c>
      <c r="CX79" s="56">
        <v>0.89583333333333337</v>
      </c>
      <c r="CY79" s="57" t="s">
        <v>692</v>
      </c>
      <c r="CZ79" s="62">
        <v>94.486000000000004</v>
      </c>
      <c r="DB79" s="61">
        <v>14</v>
      </c>
      <c r="DC79" s="53" t="s">
        <v>811</v>
      </c>
      <c r="DD79" s="53" t="s">
        <v>812</v>
      </c>
      <c r="DE79" s="54">
        <v>0.57548611111111114</v>
      </c>
      <c r="DF79" s="53" t="s">
        <v>813</v>
      </c>
      <c r="DG79" s="55">
        <v>0.20347222222222219</v>
      </c>
      <c r="DH79" s="56">
        <v>0.92291666666666661</v>
      </c>
      <c r="DI79" s="56">
        <v>0.23055555555555554</v>
      </c>
      <c r="DJ79" s="56">
        <v>0.8965277777777777</v>
      </c>
      <c r="DK79" s="56">
        <v>0.25486111111111109</v>
      </c>
      <c r="DL79" s="56">
        <v>0.87152777777777779</v>
      </c>
      <c r="DM79" s="57" t="s">
        <v>814</v>
      </c>
      <c r="DN79" s="62">
        <v>94.146000000000001</v>
      </c>
      <c r="DP79" s="59">
        <v>13</v>
      </c>
      <c r="DQ79" s="48" t="s">
        <v>916</v>
      </c>
      <c r="DR79" s="48" t="s">
        <v>917</v>
      </c>
      <c r="DS79" s="49">
        <v>0.52228009259259256</v>
      </c>
      <c r="DT79" s="48" t="s">
        <v>911</v>
      </c>
      <c r="DU79" s="50">
        <v>0.23124999999999998</v>
      </c>
      <c r="DV79" s="51">
        <v>0.8833333333333333</v>
      </c>
      <c r="DW79" s="51">
        <v>0.25416666666666665</v>
      </c>
      <c r="DX79" s="51">
        <v>0.85972222222222217</v>
      </c>
      <c r="DY79" s="51">
        <v>0.27708333333333335</v>
      </c>
      <c r="DZ79" s="51">
        <v>0.83750000000000002</v>
      </c>
      <c r="EA79" s="52" t="s">
        <v>918</v>
      </c>
      <c r="EB79" s="60">
        <v>93.504999999999995</v>
      </c>
      <c r="ED79" s="61">
        <v>14</v>
      </c>
      <c r="EE79" s="53" t="s">
        <v>1011</v>
      </c>
      <c r="EF79" s="53" t="s">
        <v>1012</v>
      </c>
      <c r="EG79" s="54">
        <v>0.46490740740740738</v>
      </c>
      <c r="EH79" s="53" t="s">
        <v>881</v>
      </c>
      <c r="EI79" s="55">
        <v>0.25486111111111109</v>
      </c>
      <c r="EJ79" s="56">
        <v>0.84583333333333333</v>
      </c>
      <c r="EK79" s="56">
        <v>0.27638888888888885</v>
      </c>
      <c r="EL79" s="56">
        <v>0.82430555555555562</v>
      </c>
      <c r="EM79" s="56">
        <v>0.2986111111111111</v>
      </c>
      <c r="EN79" s="56">
        <v>0.80208333333333337</v>
      </c>
      <c r="EO79" s="57" t="s">
        <v>1013</v>
      </c>
      <c r="EP79" s="62">
        <v>92.691999999999993</v>
      </c>
      <c r="ER79" s="61">
        <v>13</v>
      </c>
      <c r="ES79" s="53" t="s">
        <v>1106</v>
      </c>
      <c r="ET79" s="53" t="s">
        <v>1107</v>
      </c>
      <c r="EU79" s="54">
        <v>0.4151157407407407</v>
      </c>
      <c r="EV79" s="53" t="s">
        <v>1108</v>
      </c>
      <c r="EW79" s="55">
        <v>0.23472222222222219</v>
      </c>
      <c r="EX79" s="56">
        <v>0.78125</v>
      </c>
      <c r="EY79" s="56">
        <v>0.25694444444444448</v>
      </c>
      <c r="EZ79" s="56">
        <v>0.7583333333333333</v>
      </c>
      <c r="FA79" s="56">
        <v>0.27986111111111112</v>
      </c>
      <c r="FB79" s="56">
        <v>0.73541666666666661</v>
      </c>
      <c r="FC79" s="57" t="s">
        <v>1109</v>
      </c>
      <c r="FD79" s="62">
        <v>91.965999999999994</v>
      </c>
      <c r="FF79" s="61">
        <v>14</v>
      </c>
      <c r="FG79" s="53" t="s">
        <v>1205</v>
      </c>
      <c r="FH79" s="53" t="s">
        <v>1202</v>
      </c>
      <c r="FI79" s="54">
        <v>0.38641203703703703</v>
      </c>
      <c r="FJ79" s="53" t="s">
        <v>1206</v>
      </c>
      <c r="FK79" s="55">
        <v>0.25347222222222221</v>
      </c>
      <c r="FL79" s="56">
        <v>0.77708333333333324</v>
      </c>
      <c r="FM79" s="56">
        <v>0.27638888888888885</v>
      </c>
      <c r="FN79" s="56">
        <v>0.75416666666666676</v>
      </c>
      <c r="FO79" s="56">
        <v>0.30069444444444443</v>
      </c>
      <c r="FP79" s="56">
        <v>0.72986111111111107</v>
      </c>
      <c r="FQ79" s="57" t="s">
        <v>1207</v>
      </c>
      <c r="FR79" s="62">
        <v>91.49</v>
      </c>
    </row>
    <row r="80" spans="1:174" ht="20.25" thickBot="1" x14ac:dyDescent="0.3">
      <c r="A80">
        <v>9</v>
      </c>
      <c r="B80">
        <v>34</v>
      </c>
      <c r="C80" s="59">
        <v>15</v>
      </c>
      <c r="D80" s="48" t="s">
        <v>105</v>
      </c>
      <c r="E80" s="48" t="s">
        <v>106</v>
      </c>
      <c r="F80" s="70">
        <v>0.39900462962962963</v>
      </c>
      <c r="G80" s="48" t="s">
        <v>107</v>
      </c>
      <c r="H80" s="50">
        <v>0.25833333333333336</v>
      </c>
      <c r="I80" s="51">
        <v>0.79236111111111107</v>
      </c>
      <c r="J80" s="51">
        <v>0.28125</v>
      </c>
      <c r="K80" s="51">
        <v>0.76944444444444438</v>
      </c>
      <c r="L80" s="51">
        <v>0.30486111111111108</v>
      </c>
      <c r="M80" s="51">
        <v>0.74583333333333324</v>
      </c>
      <c r="N80" s="52" t="s">
        <v>108</v>
      </c>
      <c r="O80" s="60">
        <v>91.436000000000007</v>
      </c>
      <c r="Q80" s="59">
        <v>13</v>
      </c>
      <c r="R80" s="59"/>
      <c r="S80" s="48" t="s">
        <v>219</v>
      </c>
      <c r="T80" s="48" t="s">
        <v>220</v>
      </c>
      <c r="U80" s="49">
        <v>0.44085648148148149</v>
      </c>
      <c r="V80" s="48" t="s">
        <v>221</v>
      </c>
      <c r="W80" s="50">
        <v>0.24444444444444446</v>
      </c>
      <c r="X80" s="51">
        <v>0.81319444444444444</v>
      </c>
      <c r="Y80" s="51">
        <v>0.26666666666666666</v>
      </c>
      <c r="Z80" s="51">
        <v>0.7909722222222223</v>
      </c>
      <c r="AA80" s="51">
        <v>0.28888888888888892</v>
      </c>
      <c r="AB80" s="51">
        <v>0.76874999999999993</v>
      </c>
      <c r="AC80" s="52" t="s">
        <v>222</v>
      </c>
      <c r="AD80" s="91"/>
      <c r="AE80" s="91"/>
      <c r="AF80" s="91"/>
      <c r="AG80" s="91"/>
      <c r="AH80" s="60">
        <v>91.78</v>
      </c>
      <c r="AJ80" s="61">
        <v>15</v>
      </c>
      <c r="AK80" s="53" t="s">
        <v>330</v>
      </c>
      <c r="AL80" s="53" t="s">
        <v>331</v>
      </c>
      <c r="AM80" s="54">
        <v>0.4977199074074074</v>
      </c>
      <c r="AN80" s="53" t="s">
        <v>321</v>
      </c>
      <c r="AO80" s="55">
        <v>0.25416666666666665</v>
      </c>
      <c r="AP80" s="56">
        <v>0.87916666666666676</v>
      </c>
      <c r="AQ80" s="56">
        <v>0.27708333333333335</v>
      </c>
      <c r="AR80" s="56">
        <v>0.8569444444444444</v>
      </c>
      <c r="AS80" s="56">
        <v>0.2986111111111111</v>
      </c>
      <c r="AT80" s="56">
        <v>0.83472222222222225</v>
      </c>
      <c r="AU80" s="57" t="s">
        <v>332</v>
      </c>
      <c r="AV80" s="62">
        <v>92.465000000000003</v>
      </c>
      <c r="AW80" s="61">
        <v>14</v>
      </c>
      <c r="AX80" s="53" t="s">
        <v>421</v>
      </c>
      <c r="AY80" s="53" t="s">
        <v>422</v>
      </c>
      <c r="AZ80" s="54">
        <v>0.55361111111111116</v>
      </c>
      <c r="BA80" s="53" t="s">
        <v>252</v>
      </c>
      <c r="BB80" s="55">
        <v>0.21597222222222223</v>
      </c>
      <c r="BC80" s="56">
        <v>0.90625</v>
      </c>
      <c r="BD80" s="56">
        <v>0.24097222222222223</v>
      </c>
      <c r="BE80" s="56">
        <v>0.88124999999999998</v>
      </c>
      <c r="BF80" s="56">
        <v>0.26458333333333334</v>
      </c>
      <c r="BG80" s="56">
        <v>0.85763888888888884</v>
      </c>
      <c r="BH80" s="57" t="s">
        <v>423</v>
      </c>
      <c r="BI80" s="62">
        <v>93.257000000000005</v>
      </c>
      <c r="BL80" s="59">
        <v>15</v>
      </c>
      <c r="BM80" s="48" t="s">
        <v>524</v>
      </c>
      <c r="BN80" s="48" t="s">
        <v>525</v>
      </c>
      <c r="BO80" s="49">
        <v>0.60327546296296297</v>
      </c>
      <c r="BP80" s="48" t="s">
        <v>141</v>
      </c>
      <c r="BQ80" s="50">
        <v>0.17777777777777778</v>
      </c>
      <c r="BR80" s="51">
        <v>0.93888888888888899</v>
      </c>
      <c r="BS80" s="51">
        <v>0.2076388888888889</v>
      </c>
      <c r="BT80" s="51">
        <v>0.90833333333333333</v>
      </c>
      <c r="BU80" s="51">
        <v>0.23472222222222219</v>
      </c>
      <c r="BV80" s="51">
        <v>0.88124999999999998</v>
      </c>
      <c r="BW80" s="52" t="s">
        <v>526</v>
      </c>
      <c r="BX80" s="60">
        <v>93.984999999999999</v>
      </c>
      <c r="BZ80" s="61">
        <v>14</v>
      </c>
      <c r="CA80" s="53" t="s">
        <v>605</v>
      </c>
      <c r="CB80" s="53" t="s">
        <v>614</v>
      </c>
      <c r="CC80" s="54">
        <v>0.62834490740740734</v>
      </c>
      <c r="CD80" s="53" t="s">
        <v>617</v>
      </c>
      <c r="CE80" s="55">
        <v>0.15902777777777777</v>
      </c>
      <c r="CF80" s="56">
        <v>0.96250000000000002</v>
      </c>
      <c r="CG80" s="56">
        <v>0.19375000000000001</v>
      </c>
      <c r="CH80" s="56">
        <v>0.9277777777777777</v>
      </c>
      <c r="CI80" s="56">
        <v>0.22361111111111109</v>
      </c>
      <c r="CJ80" s="56">
        <v>0.8979166666666667</v>
      </c>
      <c r="CK80" s="57" t="s">
        <v>616</v>
      </c>
      <c r="CL80" s="62">
        <v>94.421999999999997</v>
      </c>
      <c r="CN80" s="59">
        <v>15</v>
      </c>
      <c r="CO80" s="48" t="s">
        <v>693</v>
      </c>
      <c r="CP80" s="48" t="s">
        <v>694</v>
      </c>
      <c r="CQ80" s="49">
        <v>0.61640046296296302</v>
      </c>
      <c r="CR80" s="48" t="s">
        <v>695</v>
      </c>
      <c r="CS80" s="50">
        <v>0.17291666666666669</v>
      </c>
      <c r="CT80" s="51">
        <v>0.9555555555555556</v>
      </c>
      <c r="CU80" s="51">
        <v>0.20555555555555557</v>
      </c>
      <c r="CV80" s="51">
        <v>0.92361111111111116</v>
      </c>
      <c r="CW80" s="51">
        <v>0.23402777777777781</v>
      </c>
      <c r="CX80" s="51">
        <v>0.89513888888888893</v>
      </c>
      <c r="CY80" s="52" t="s">
        <v>696</v>
      </c>
      <c r="CZ80" s="60">
        <v>94.480999999999995</v>
      </c>
      <c r="DB80" s="59">
        <v>15</v>
      </c>
      <c r="DC80" s="48" t="s">
        <v>815</v>
      </c>
      <c r="DD80" s="48" t="s">
        <v>816</v>
      </c>
      <c r="DE80" s="49">
        <v>0.57384259259259263</v>
      </c>
      <c r="DF80" s="48" t="s">
        <v>817</v>
      </c>
      <c r="DG80" s="50">
        <v>0.20486111111111113</v>
      </c>
      <c r="DH80" s="51">
        <v>0.92152777777777783</v>
      </c>
      <c r="DI80" s="51">
        <v>0.23124999999999998</v>
      </c>
      <c r="DJ80" s="51">
        <v>0.89513888888888893</v>
      </c>
      <c r="DK80" s="51">
        <v>0.25555555555555559</v>
      </c>
      <c r="DL80" s="51">
        <v>0.87013888888888891</v>
      </c>
      <c r="DM80" s="52" t="s">
        <v>818</v>
      </c>
      <c r="DN80" s="60">
        <v>94.128</v>
      </c>
      <c r="DP80" s="61">
        <v>14</v>
      </c>
      <c r="DQ80" s="53" t="s">
        <v>919</v>
      </c>
      <c r="DR80" s="53" t="s">
        <v>920</v>
      </c>
      <c r="DS80" s="54">
        <v>0.52042824074074068</v>
      </c>
      <c r="DT80" s="53" t="s">
        <v>911</v>
      </c>
      <c r="DU80" s="55">
        <v>0.23194444444444443</v>
      </c>
      <c r="DV80" s="56">
        <v>0.88194444444444453</v>
      </c>
      <c r="DW80" s="56">
        <v>0.25486111111111109</v>
      </c>
      <c r="DX80" s="56">
        <v>0.85902777777777783</v>
      </c>
      <c r="DY80" s="56">
        <v>0.27777777777777779</v>
      </c>
      <c r="DZ80" s="56">
        <v>0.83611111111111114</v>
      </c>
      <c r="EA80" s="57" t="s">
        <v>921</v>
      </c>
      <c r="EB80" s="62">
        <v>93.48</v>
      </c>
      <c r="ED80" s="59">
        <v>15</v>
      </c>
      <c r="EE80" s="48" t="s">
        <v>1014</v>
      </c>
      <c r="EF80" s="48" t="s">
        <v>1015</v>
      </c>
      <c r="EG80" s="49">
        <v>0.46310185185185188</v>
      </c>
      <c r="EH80" s="48" t="s">
        <v>881</v>
      </c>
      <c r="EI80" s="50">
        <v>0.25555555555555559</v>
      </c>
      <c r="EJ80" s="51">
        <v>0.84513888888888899</v>
      </c>
      <c r="EK80" s="51">
        <v>0.27777777777777779</v>
      </c>
      <c r="EL80" s="51">
        <v>0.82291666666666663</v>
      </c>
      <c r="EM80" s="51">
        <v>0.29930555555555555</v>
      </c>
      <c r="EN80" s="51">
        <v>0.80069444444444438</v>
      </c>
      <c r="EO80" s="52" t="s">
        <v>1016</v>
      </c>
      <c r="EP80" s="60">
        <v>92.665000000000006</v>
      </c>
      <c r="ER80" s="59">
        <v>14</v>
      </c>
      <c r="ES80" s="48" t="s">
        <v>1110</v>
      </c>
      <c r="ET80" s="48" t="s">
        <v>1111</v>
      </c>
      <c r="EU80" s="49">
        <v>0.41370370370370368</v>
      </c>
      <c r="EV80" s="48" t="s">
        <v>756</v>
      </c>
      <c r="EW80" s="50">
        <v>0.23541666666666669</v>
      </c>
      <c r="EX80" s="51">
        <v>0.78055555555555556</v>
      </c>
      <c r="EY80" s="51">
        <v>0.25763888888888892</v>
      </c>
      <c r="EZ80" s="51">
        <v>0.7583333333333333</v>
      </c>
      <c r="FA80" s="51">
        <v>0.28055555555555556</v>
      </c>
      <c r="FB80" s="51">
        <v>0.73541666666666661</v>
      </c>
      <c r="FC80" s="52" t="s">
        <v>1112</v>
      </c>
      <c r="FD80" s="60">
        <v>91.944999999999993</v>
      </c>
      <c r="FF80" s="59">
        <v>15</v>
      </c>
      <c r="FG80" s="48" t="s">
        <v>1208</v>
      </c>
      <c r="FH80" s="48" t="s">
        <v>1209</v>
      </c>
      <c r="FI80" s="49">
        <v>0.38612268518518517</v>
      </c>
      <c r="FJ80" s="48" t="s">
        <v>1210</v>
      </c>
      <c r="FK80" s="50">
        <v>0.25416666666666665</v>
      </c>
      <c r="FL80" s="51">
        <v>0.77708333333333324</v>
      </c>
      <c r="FM80" s="51">
        <v>0.27708333333333335</v>
      </c>
      <c r="FN80" s="51">
        <v>0.75416666666666676</v>
      </c>
      <c r="FO80" s="51">
        <v>0.30138888888888887</v>
      </c>
      <c r="FP80" s="51">
        <v>0.72986111111111107</v>
      </c>
      <c r="FQ80" s="52" t="s">
        <v>1211</v>
      </c>
      <c r="FR80" s="60">
        <v>91.480999999999995</v>
      </c>
    </row>
    <row r="81" spans="1:174" ht="20.25" thickBot="1" x14ac:dyDescent="0.3">
      <c r="A81">
        <v>9</v>
      </c>
      <c r="B81">
        <v>36</v>
      </c>
      <c r="C81" s="61">
        <v>16</v>
      </c>
      <c r="D81" s="53" t="s">
        <v>109</v>
      </c>
      <c r="E81" s="53" t="s">
        <v>110</v>
      </c>
      <c r="F81" s="71">
        <v>0.40008101851851857</v>
      </c>
      <c r="G81" s="53" t="s">
        <v>111</v>
      </c>
      <c r="H81" s="55">
        <v>0.25833333333333336</v>
      </c>
      <c r="I81" s="56">
        <v>0.79305555555555562</v>
      </c>
      <c r="J81" s="56">
        <v>0.28125</v>
      </c>
      <c r="K81" s="56">
        <v>0.77013888888888893</v>
      </c>
      <c r="L81" s="56">
        <v>0.30486111111111108</v>
      </c>
      <c r="M81" s="56">
        <v>0.74652777777777779</v>
      </c>
      <c r="N81" s="57" t="s">
        <v>112</v>
      </c>
      <c r="O81" s="62">
        <v>91.441000000000003</v>
      </c>
      <c r="Q81" s="61">
        <v>14</v>
      </c>
      <c r="R81" s="98"/>
      <c r="S81" s="53" t="s">
        <v>223</v>
      </c>
      <c r="T81" s="53" t="s">
        <v>224</v>
      </c>
      <c r="U81" s="54">
        <v>0.44258101851851855</v>
      </c>
      <c r="V81" s="53" t="s">
        <v>225</v>
      </c>
      <c r="W81" s="55">
        <v>0.24374999999999999</v>
      </c>
      <c r="X81" s="56">
        <v>0.81388888888888899</v>
      </c>
      <c r="Y81" s="56">
        <v>0.26597222222222222</v>
      </c>
      <c r="Z81" s="56">
        <v>0.79166666666666663</v>
      </c>
      <c r="AA81" s="56">
        <v>0.28819444444444448</v>
      </c>
      <c r="AB81" s="56">
        <v>0.76944444444444438</v>
      </c>
      <c r="AC81" s="57" t="s">
        <v>226</v>
      </c>
      <c r="AD81" s="92"/>
      <c r="AE81" s="92"/>
      <c r="AF81" s="92"/>
      <c r="AG81" s="92"/>
      <c r="AH81" s="62">
        <v>91.796999999999997</v>
      </c>
      <c r="AJ81" s="59">
        <v>16</v>
      </c>
      <c r="AK81" s="48" t="s">
        <v>333</v>
      </c>
      <c r="AL81" s="48" t="s">
        <v>334</v>
      </c>
      <c r="AM81" s="49">
        <v>0.49961805555555555</v>
      </c>
      <c r="AN81" s="48" t="s">
        <v>321</v>
      </c>
      <c r="AO81" s="50">
        <v>0.25347222222222221</v>
      </c>
      <c r="AP81" s="51">
        <v>0.87986111111111109</v>
      </c>
      <c r="AQ81" s="51">
        <v>0.27569444444444446</v>
      </c>
      <c r="AR81" s="51">
        <v>0.85763888888888884</v>
      </c>
      <c r="AS81" s="51">
        <v>0.29791666666666666</v>
      </c>
      <c r="AT81" s="51">
        <v>0.8354166666666667</v>
      </c>
      <c r="AU81" s="52" t="s">
        <v>335</v>
      </c>
      <c r="AV81" s="60">
        <v>92.49</v>
      </c>
      <c r="AW81" s="59">
        <v>15</v>
      </c>
      <c r="AX81" s="48" t="s">
        <v>424</v>
      </c>
      <c r="AY81" s="48" t="s">
        <v>425</v>
      </c>
      <c r="AZ81" s="49">
        <v>0.55540509259259263</v>
      </c>
      <c r="BA81" s="48" t="s">
        <v>248</v>
      </c>
      <c r="BB81" s="50">
        <v>0.21458333333333335</v>
      </c>
      <c r="BC81" s="51">
        <v>0.90694444444444444</v>
      </c>
      <c r="BD81" s="51">
        <v>0.23958333333333334</v>
      </c>
      <c r="BE81" s="51">
        <v>0.88194444444444453</v>
      </c>
      <c r="BF81" s="51">
        <v>0.26319444444444445</v>
      </c>
      <c r="BG81" s="51">
        <v>0.85833333333333339</v>
      </c>
      <c r="BH81" s="52" t="s">
        <v>426</v>
      </c>
      <c r="BI81" s="60">
        <v>93.281999999999996</v>
      </c>
      <c r="BL81" s="61">
        <v>16</v>
      </c>
      <c r="BM81" s="53" t="s">
        <v>527</v>
      </c>
      <c r="BN81" s="53" t="s">
        <v>528</v>
      </c>
      <c r="BO81" s="54">
        <v>0.60458333333333336</v>
      </c>
      <c r="BP81" s="53" t="s">
        <v>529</v>
      </c>
      <c r="BQ81" s="55">
        <v>0.17708333333333334</v>
      </c>
      <c r="BR81" s="56">
        <v>0.93958333333333333</v>
      </c>
      <c r="BS81" s="56">
        <v>0.20694444444444446</v>
      </c>
      <c r="BT81" s="56">
        <v>0.90902777777777777</v>
      </c>
      <c r="BU81" s="56">
        <v>0.23402777777777781</v>
      </c>
      <c r="BV81" s="56">
        <v>0.88194444444444453</v>
      </c>
      <c r="BW81" s="57" t="s">
        <v>530</v>
      </c>
      <c r="BX81" s="62">
        <v>94.004000000000005</v>
      </c>
      <c r="BZ81" s="59">
        <v>15</v>
      </c>
      <c r="CA81" s="48" t="s">
        <v>605</v>
      </c>
      <c r="CB81" s="48" t="s">
        <v>614</v>
      </c>
      <c r="CC81" s="49">
        <v>0.62858796296296293</v>
      </c>
      <c r="CD81" s="48" t="s">
        <v>618</v>
      </c>
      <c r="CE81" s="50">
        <v>0.15902777777777777</v>
      </c>
      <c r="CF81" s="51">
        <v>0.96319444444444446</v>
      </c>
      <c r="CG81" s="51">
        <v>0.19375000000000001</v>
      </c>
      <c r="CH81" s="51">
        <v>0.9277777777777777</v>
      </c>
      <c r="CI81" s="51">
        <v>0.22361111111111109</v>
      </c>
      <c r="CJ81" s="51">
        <v>0.89861111111111114</v>
      </c>
      <c r="CK81" s="52" t="s">
        <v>619</v>
      </c>
      <c r="CL81" s="60">
        <v>94.43</v>
      </c>
      <c r="CN81" s="61">
        <v>16</v>
      </c>
      <c r="CO81" s="53" t="s">
        <v>697</v>
      </c>
      <c r="CP81" s="53" t="s">
        <v>698</v>
      </c>
      <c r="CQ81" s="54">
        <v>0.61540509259259257</v>
      </c>
      <c r="CR81" s="53" t="s">
        <v>699</v>
      </c>
      <c r="CS81" s="55">
        <v>0.17430555555555557</v>
      </c>
      <c r="CT81" s="56">
        <v>0.95486111111111116</v>
      </c>
      <c r="CU81" s="56">
        <v>0.20625000000000002</v>
      </c>
      <c r="CV81" s="56">
        <v>0.92291666666666661</v>
      </c>
      <c r="CW81" s="56">
        <v>0.23472222222222219</v>
      </c>
      <c r="CX81" s="56">
        <v>0.89444444444444438</v>
      </c>
      <c r="CY81" s="57" t="s">
        <v>700</v>
      </c>
      <c r="CZ81" s="62">
        <v>94.474999999999994</v>
      </c>
      <c r="DB81" s="61">
        <v>16</v>
      </c>
      <c r="DC81" s="53" t="s">
        <v>819</v>
      </c>
      <c r="DD81" s="53" t="s">
        <v>820</v>
      </c>
      <c r="DE81" s="54">
        <v>0.57217592592592592</v>
      </c>
      <c r="DF81" s="53" t="s">
        <v>821</v>
      </c>
      <c r="DG81" s="55">
        <v>0.20555555555555557</v>
      </c>
      <c r="DH81" s="56">
        <v>0.92013888888888884</v>
      </c>
      <c r="DI81" s="56">
        <v>0.23194444444444443</v>
      </c>
      <c r="DJ81" s="56">
        <v>0.89374999999999993</v>
      </c>
      <c r="DK81" s="56">
        <v>0.25694444444444448</v>
      </c>
      <c r="DL81" s="56">
        <v>0.86944444444444446</v>
      </c>
      <c r="DM81" s="57" t="s">
        <v>822</v>
      </c>
      <c r="DN81" s="62">
        <v>94.11</v>
      </c>
      <c r="DP81" s="59">
        <v>15</v>
      </c>
      <c r="DQ81" s="48" t="s">
        <v>922</v>
      </c>
      <c r="DR81" s="48" t="s">
        <v>923</v>
      </c>
      <c r="DS81" s="49">
        <v>0.51857638888888891</v>
      </c>
      <c r="DT81" s="48" t="s">
        <v>924</v>
      </c>
      <c r="DU81" s="50">
        <v>0.23263888888888887</v>
      </c>
      <c r="DV81" s="51">
        <v>0.88055555555555554</v>
      </c>
      <c r="DW81" s="51">
        <v>0.25555555555555559</v>
      </c>
      <c r="DX81" s="51">
        <v>0.85763888888888884</v>
      </c>
      <c r="DY81" s="51">
        <v>0.27847222222222223</v>
      </c>
      <c r="DZ81" s="51">
        <v>0.83472222222222225</v>
      </c>
      <c r="EA81" s="52" t="s">
        <v>925</v>
      </c>
      <c r="EB81" s="60">
        <v>93.454999999999998</v>
      </c>
      <c r="ED81" s="61">
        <v>16</v>
      </c>
      <c r="EE81" s="53" t="s">
        <v>1017</v>
      </c>
      <c r="EF81" s="53" t="s">
        <v>1018</v>
      </c>
      <c r="EG81" s="54">
        <v>0.46129629629629632</v>
      </c>
      <c r="EH81" s="53" t="s">
        <v>873</v>
      </c>
      <c r="EI81" s="55">
        <v>0.25625000000000003</v>
      </c>
      <c r="EJ81" s="56">
        <v>0.84375</v>
      </c>
      <c r="EK81" s="56">
        <v>0.27847222222222223</v>
      </c>
      <c r="EL81" s="56">
        <v>0.8222222222222223</v>
      </c>
      <c r="EM81" s="56">
        <v>0.3</v>
      </c>
      <c r="EN81" s="56">
        <v>0.79999999999999993</v>
      </c>
      <c r="EO81" s="57" t="s">
        <v>1019</v>
      </c>
      <c r="EP81" s="62">
        <v>92.638999999999996</v>
      </c>
      <c r="ER81" s="61">
        <v>15</v>
      </c>
      <c r="ES81" s="53" t="s">
        <v>1113</v>
      </c>
      <c r="ET81" s="53" t="s">
        <v>1114</v>
      </c>
      <c r="EU81" s="54">
        <v>0.4123263888888889</v>
      </c>
      <c r="EV81" s="53" t="s">
        <v>752</v>
      </c>
      <c r="EW81" s="55">
        <v>0.23611111111111113</v>
      </c>
      <c r="EX81" s="56">
        <v>0.77986111111111101</v>
      </c>
      <c r="EY81" s="56">
        <v>0.25833333333333336</v>
      </c>
      <c r="EZ81" s="56">
        <v>0.75763888888888886</v>
      </c>
      <c r="FA81" s="56">
        <v>0.28125</v>
      </c>
      <c r="FB81" s="56">
        <v>0.73472222222222217</v>
      </c>
      <c r="FC81" s="57" t="s">
        <v>1115</v>
      </c>
      <c r="FD81" s="62">
        <v>91.924999999999997</v>
      </c>
      <c r="FF81" s="61">
        <v>16</v>
      </c>
      <c r="FG81" s="53" t="s">
        <v>1208</v>
      </c>
      <c r="FH81" s="53" t="s">
        <v>1209</v>
      </c>
      <c r="FI81" s="54">
        <v>0.38587962962962963</v>
      </c>
      <c r="FJ81" s="53" t="s">
        <v>1212</v>
      </c>
      <c r="FK81" s="55">
        <v>0.25416666666666665</v>
      </c>
      <c r="FL81" s="56">
        <v>0.77777777777777779</v>
      </c>
      <c r="FM81" s="56">
        <v>0.27777777777777779</v>
      </c>
      <c r="FN81" s="56">
        <v>0.75416666666666676</v>
      </c>
      <c r="FO81" s="56">
        <v>0.30138888888888887</v>
      </c>
      <c r="FP81" s="56">
        <v>0.73055555555555562</v>
      </c>
      <c r="FQ81" s="57" t="s">
        <v>1213</v>
      </c>
      <c r="FR81" s="62">
        <v>91.472999999999999</v>
      </c>
    </row>
    <row r="82" spans="1:174" ht="20.25" thickBot="1" x14ac:dyDescent="0.3">
      <c r="A82">
        <v>9</v>
      </c>
      <c r="B82">
        <v>37</v>
      </c>
      <c r="C82" s="59">
        <v>17</v>
      </c>
      <c r="D82" s="48" t="s">
        <v>113</v>
      </c>
      <c r="E82" s="48" t="s">
        <v>114</v>
      </c>
      <c r="F82" s="70">
        <v>0.4011805555555556</v>
      </c>
      <c r="G82" s="48" t="s">
        <v>115</v>
      </c>
      <c r="H82" s="50">
        <v>0.25833333333333336</v>
      </c>
      <c r="I82" s="51">
        <v>0.79375000000000007</v>
      </c>
      <c r="J82" s="51">
        <v>0.28125</v>
      </c>
      <c r="K82" s="51">
        <v>0.77083333333333337</v>
      </c>
      <c r="L82" s="51">
        <v>0.30416666666666664</v>
      </c>
      <c r="M82" s="51">
        <v>0.74722222222222223</v>
      </c>
      <c r="N82" s="52" t="s">
        <v>116</v>
      </c>
      <c r="O82" s="60">
        <v>91.447000000000003</v>
      </c>
      <c r="Q82" s="59">
        <v>15</v>
      </c>
      <c r="R82" s="59"/>
      <c r="S82" s="48" t="s">
        <v>227</v>
      </c>
      <c r="T82" s="48" t="s">
        <v>228</v>
      </c>
      <c r="U82" s="49">
        <v>0.4443171296296296</v>
      </c>
      <c r="V82" s="48" t="s">
        <v>229</v>
      </c>
      <c r="W82" s="50">
        <v>0.24305555555555555</v>
      </c>
      <c r="X82" s="51">
        <v>0.81458333333333333</v>
      </c>
      <c r="Y82" s="51">
        <v>0.26458333333333334</v>
      </c>
      <c r="Z82" s="51">
        <v>0.79305555555555562</v>
      </c>
      <c r="AA82" s="51">
        <v>0.28680555555555554</v>
      </c>
      <c r="AB82" s="51">
        <v>0.77013888888888893</v>
      </c>
      <c r="AC82" s="52" t="s">
        <v>230</v>
      </c>
      <c r="AD82" s="91"/>
      <c r="AE82" s="91"/>
      <c r="AF82" s="91"/>
      <c r="AG82" s="91"/>
      <c r="AH82" s="60">
        <v>91.814999999999998</v>
      </c>
      <c r="AJ82" s="61">
        <v>17</v>
      </c>
      <c r="AK82" s="53" t="s">
        <v>336</v>
      </c>
      <c r="AL82" s="53" t="s">
        <v>337</v>
      </c>
      <c r="AM82" s="54">
        <v>0.50150462962962961</v>
      </c>
      <c r="AN82" s="53" t="s">
        <v>321</v>
      </c>
      <c r="AO82" s="55">
        <v>0.25208333333333333</v>
      </c>
      <c r="AP82" s="56">
        <v>0.88055555555555554</v>
      </c>
      <c r="AQ82" s="56">
        <v>0.27430555555555552</v>
      </c>
      <c r="AR82" s="56">
        <v>0.85833333333333339</v>
      </c>
      <c r="AS82" s="56">
        <v>0.29652777777777778</v>
      </c>
      <c r="AT82" s="56">
        <v>0.83611111111111114</v>
      </c>
      <c r="AU82" s="57" t="s">
        <v>338</v>
      </c>
      <c r="AV82" s="62">
        <v>92.515000000000001</v>
      </c>
      <c r="AW82" s="61">
        <v>16</v>
      </c>
      <c r="AX82" s="53" t="s">
        <v>427</v>
      </c>
      <c r="AY82" s="53" t="s">
        <v>428</v>
      </c>
      <c r="AZ82" s="54">
        <v>0.55718750000000006</v>
      </c>
      <c r="BA82" s="53" t="s">
        <v>248</v>
      </c>
      <c r="BB82" s="55">
        <v>0.21319444444444444</v>
      </c>
      <c r="BC82" s="56">
        <v>0.90763888888888899</v>
      </c>
      <c r="BD82" s="56">
        <v>0.23819444444444446</v>
      </c>
      <c r="BE82" s="56">
        <v>0.88263888888888886</v>
      </c>
      <c r="BF82" s="56">
        <v>0.26180555555555557</v>
      </c>
      <c r="BG82" s="56">
        <v>0.85902777777777783</v>
      </c>
      <c r="BH82" s="57" t="s">
        <v>429</v>
      </c>
      <c r="BI82" s="62">
        <v>93.308000000000007</v>
      </c>
      <c r="BL82" s="59">
        <v>17</v>
      </c>
      <c r="BM82" s="48" t="s">
        <v>527</v>
      </c>
      <c r="BN82" s="48" t="s">
        <v>531</v>
      </c>
      <c r="BO82" s="49">
        <v>0.60586805555555556</v>
      </c>
      <c r="BP82" s="48" t="s">
        <v>532</v>
      </c>
      <c r="BQ82" s="50">
        <v>0.17569444444444446</v>
      </c>
      <c r="BR82" s="51">
        <v>0.94097222222222221</v>
      </c>
      <c r="BS82" s="51">
        <v>0.20625000000000002</v>
      </c>
      <c r="BT82" s="51">
        <v>0.91041666666666676</v>
      </c>
      <c r="BU82" s="51">
        <v>0.23333333333333331</v>
      </c>
      <c r="BV82" s="51">
        <v>0.88263888888888886</v>
      </c>
      <c r="BW82" s="52" t="s">
        <v>533</v>
      </c>
      <c r="BX82" s="60">
        <v>94.022999999999996</v>
      </c>
      <c r="BZ82" s="61">
        <v>16</v>
      </c>
      <c r="CA82" s="53" t="s">
        <v>605</v>
      </c>
      <c r="CB82" s="53" t="s">
        <v>620</v>
      </c>
      <c r="CC82" s="54">
        <v>0.62878472222222226</v>
      </c>
      <c r="CD82" s="53" t="s">
        <v>621</v>
      </c>
      <c r="CE82" s="55">
        <v>0.15902777777777777</v>
      </c>
      <c r="CF82" s="56">
        <v>0.96319444444444446</v>
      </c>
      <c r="CG82" s="56">
        <v>0.19375000000000001</v>
      </c>
      <c r="CH82" s="56">
        <v>0.92847222222222225</v>
      </c>
      <c r="CI82" s="56">
        <v>0.22361111111111109</v>
      </c>
      <c r="CJ82" s="56">
        <v>0.89861111111111114</v>
      </c>
      <c r="CK82" s="57" t="s">
        <v>619</v>
      </c>
      <c r="CL82" s="62">
        <v>94.436999999999998</v>
      </c>
      <c r="CN82" s="59">
        <v>17</v>
      </c>
      <c r="CO82" s="48" t="s">
        <v>701</v>
      </c>
      <c r="CP82" s="48" t="s">
        <v>702</v>
      </c>
      <c r="CQ82" s="49">
        <v>0.614375</v>
      </c>
      <c r="CR82" s="48" t="s">
        <v>703</v>
      </c>
      <c r="CS82" s="50">
        <v>0.17500000000000002</v>
      </c>
      <c r="CT82" s="51">
        <v>0.95416666666666661</v>
      </c>
      <c r="CU82" s="51">
        <v>0.20694444444444446</v>
      </c>
      <c r="CV82" s="51">
        <v>0.92222222222222217</v>
      </c>
      <c r="CW82" s="51">
        <v>0.23541666666666669</v>
      </c>
      <c r="CX82" s="51">
        <v>0.89374999999999993</v>
      </c>
      <c r="CY82" s="52" t="s">
        <v>704</v>
      </c>
      <c r="CZ82" s="60">
        <v>94.468999999999994</v>
      </c>
      <c r="DB82" s="59">
        <v>17</v>
      </c>
      <c r="DC82" s="48" t="s">
        <v>823</v>
      </c>
      <c r="DD82" s="48" t="s">
        <v>824</v>
      </c>
      <c r="DE82" s="49">
        <v>0.57049768518518518</v>
      </c>
      <c r="DF82" s="48" t="s">
        <v>825</v>
      </c>
      <c r="DG82" s="50">
        <v>0.20625000000000002</v>
      </c>
      <c r="DH82" s="51">
        <v>0.91875000000000007</v>
      </c>
      <c r="DI82" s="51">
        <v>0.23263888888888887</v>
      </c>
      <c r="DJ82" s="51">
        <v>0.8930555555555556</v>
      </c>
      <c r="DK82" s="51">
        <v>0.25763888888888892</v>
      </c>
      <c r="DL82" s="51">
        <v>0.86805555555555547</v>
      </c>
      <c r="DM82" s="52" t="s">
        <v>826</v>
      </c>
      <c r="DN82" s="60">
        <v>94.091999999999999</v>
      </c>
      <c r="DP82" s="61">
        <v>16</v>
      </c>
      <c r="DQ82" s="53" t="s">
        <v>926</v>
      </c>
      <c r="DR82" s="53" t="s">
        <v>927</v>
      </c>
      <c r="DS82" s="54">
        <v>0.51672453703703702</v>
      </c>
      <c r="DT82" s="53" t="s">
        <v>924</v>
      </c>
      <c r="DU82" s="55">
        <v>0.23333333333333331</v>
      </c>
      <c r="DV82" s="56">
        <v>0.87916666666666676</v>
      </c>
      <c r="DW82" s="56">
        <v>0.25625000000000003</v>
      </c>
      <c r="DX82" s="56">
        <v>0.85625000000000007</v>
      </c>
      <c r="DY82" s="56">
        <v>0.27916666666666667</v>
      </c>
      <c r="DZ82" s="56">
        <v>0.8340277777777777</v>
      </c>
      <c r="EA82" s="57" t="s">
        <v>928</v>
      </c>
      <c r="EB82" s="62">
        <v>93.43</v>
      </c>
      <c r="ED82" s="59">
        <v>17</v>
      </c>
      <c r="EE82" s="48" t="s">
        <v>1020</v>
      </c>
      <c r="EF82" s="48" t="s">
        <v>1021</v>
      </c>
      <c r="EG82" s="49">
        <v>0.45950231481481479</v>
      </c>
      <c r="EH82" s="48" t="s">
        <v>873</v>
      </c>
      <c r="EI82" s="50">
        <v>0.25694444444444448</v>
      </c>
      <c r="EJ82" s="51">
        <v>0.84305555555555556</v>
      </c>
      <c r="EK82" s="51">
        <v>0.27916666666666667</v>
      </c>
      <c r="EL82" s="51">
        <v>0.8208333333333333</v>
      </c>
      <c r="EM82" s="51">
        <v>0.30069444444444443</v>
      </c>
      <c r="EN82" s="51">
        <v>0.79861111111111116</v>
      </c>
      <c r="EO82" s="52" t="s">
        <v>1022</v>
      </c>
      <c r="EP82" s="60">
        <v>92.613</v>
      </c>
      <c r="ER82" s="59">
        <v>16</v>
      </c>
      <c r="ES82" s="48" t="s">
        <v>1116</v>
      </c>
      <c r="ET82" s="48" t="s">
        <v>1117</v>
      </c>
      <c r="EU82" s="49">
        <v>0.41097222222222224</v>
      </c>
      <c r="EV82" s="48" t="s">
        <v>748</v>
      </c>
      <c r="EW82" s="50">
        <v>0.23680555555555557</v>
      </c>
      <c r="EX82" s="51">
        <v>0.77986111111111101</v>
      </c>
      <c r="EY82" s="51">
        <v>0.2590277777777778</v>
      </c>
      <c r="EZ82" s="51">
        <v>0.75694444444444453</v>
      </c>
      <c r="FA82" s="51">
        <v>0.28194444444444444</v>
      </c>
      <c r="FB82" s="51">
        <v>0.73402777777777783</v>
      </c>
      <c r="FC82" s="52" t="s">
        <v>1118</v>
      </c>
      <c r="FD82" s="60">
        <v>91.905000000000001</v>
      </c>
      <c r="FF82" s="59">
        <v>17</v>
      </c>
      <c r="FG82" s="48" t="s">
        <v>1214</v>
      </c>
      <c r="FH82" s="48" t="s">
        <v>1209</v>
      </c>
      <c r="FI82" s="49">
        <v>0.38568287037037036</v>
      </c>
      <c r="FJ82" s="48" t="s">
        <v>639</v>
      </c>
      <c r="FK82" s="50">
        <v>0.25486111111111109</v>
      </c>
      <c r="FL82" s="51">
        <v>0.77777777777777779</v>
      </c>
      <c r="FM82" s="51">
        <v>0.27777777777777779</v>
      </c>
      <c r="FN82" s="51">
        <v>0.75486111111111109</v>
      </c>
      <c r="FO82" s="51">
        <v>0.30208333333333331</v>
      </c>
      <c r="FP82" s="51">
        <v>0.73055555555555562</v>
      </c>
      <c r="FQ82" s="52" t="s">
        <v>1215</v>
      </c>
      <c r="FR82" s="60">
        <v>91.465999999999994</v>
      </c>
    </row>
    <row r="83" spans="1:174" ht="20.25" thickBot="1" x14ac:dyDescent="0.3">
      <c r="A83">
        <v>9</v>
      </c>
      <c r="B83">
        <v>39</v>
      </c>
      <c r="C83" s="61">
        <v>18</v>
      </c>
      <c r="D83" s="53" t="s">
        <v>113</v>
      </c>
      <c r="E83" s="53" t="s">
        <v>117</v>
      </c>
      <c r="F83" s="71">
        <v>0.40232638888888889</v>
      </c>
      <c r="G83" s="53" t="s">
        <v>118</v>
      </c>
      <c r="H83" s="55">
        <v>0.25833333333333336</v>
      </c>
      <c r="I83" s="56">
        <v>0.7944444444444444</v>
      </c>
      <c r="J83" s="56">
        <v>0.28055555555555556</v>
      </c>
      <c r="K83" s="56">
        <v>0.7715277777777777</v>
      </c>
      <c r="L83" s="56">
        <v>0.30416666666666664</v>
      </c>
      <c r="M83" s="56">
        <v>0.74791666666666667</v>
      </c>
      <c r="N83" s="57" t="s">
        <v>119</v>
      </c>
      <c r="O83" s="62">
        <v>91.453000000000003</v>
      </c>
      <c r="Q83" s="61">
        <v>16</v>
      </c>
      <c r="R83" s="98"/>
      <c r="S83" s="53" t="s">
        <v>231</v>
      </c>
      <c r="T83" s="53" t="s">
        <v>232</v>
      </c>
      <c r="U83" s="54">
        <v>0.4460648148148148</v>
      </c>
      <c r="V83" s="53" t="s">
        <v>233</v>
      </c>
      <c r="W83" s="55">
        <v>0.24166666666666667</v>
      </c>
      <c r="X83" s="56">
        <v>0.81527777777777777</v>
      </c>
      <c r="Y83" s="56">
        <v>0.2638888888888889</v>
      </c>
      <c r="Z83" s="56">
        <v>0.79375000000000007</v>
      </c>
      <c r="AA83" s="56">
        <v>0.28611111111111115</v>
      </c>
      <c r="AB83" s="56">
        <v>0.7715277777777777</v>
      </c>
      <c r="AC83" s="57" t="s">
        <v>234</v>
      </c>
      <c r="AD83" s="92"/>
      <c r="AE83" s="92"/>
      <c r="AF83" s="92"/>
      <c r="AG83" s="92"/>
      <c r="AH83" s="62">
        <v>91.832999999999998</v>
      </c>
      <c r="AJ83" s="59">
        <v>18</v>
      </c>
      <c r="AK83" s="48" t="s">
        <v>339</v>
      </c>
      <c r="AL83" s="48" t="s">
        <v>340</v>
      </c>
      <c r="AM83" s="49">
        <v>0.50339120370370372</v>
      </c>
      <c r="AN83" s="48" t="s">
        <v>321</v>
      </c>
      <c r="AO83" s="50">
        <v>0.25069444444444444</v>
      </c>
      <c r="AP83" s="51">
        <v>0.88194444444444453</v>
      </c>
      <c r="AQ83" s="51">
        <v>0.27361111111111108</v>
      </c>
      <c r="AR83" s="51">
        <v>0.85902777777777783</v>
      </c>
      <c r="AS83" s="51">
        <v>0.29583333333333334</v>
      </c>
      <c r="AT83" s="51">
        <v>0.83680555555555547</v>
      </c>
      <c r="AU83" s="52" t="s">
        <v>341</v>
      </c>
      <c r="AV83" s="60">
        <v>92.54</v>
      </c>
      <c r="AW83" s="59">
        <v>17</v>
      </c>
      <c r="AX83" s="48" t="s">
        <v>430</v>
      </c>
      <c r="AY83" s="48" t="s">
        <v>431</v>
      </c>
      <c r="AZ83" s="49">
        <v>0.55896990740740737</v>
      </c>
      <c r="BA83" s="48" t="s">
        <v>244</v>
      </c>
      <c r="BB83" s="50">
        <v>0.21180555555555555</v>
      </c>
      <c r="BC83" s="51">
        <v>0.90902777777777777</v>
      </c>
      <c r="BD83" s="51">
        <v>0.23680555555555557</v>
      </c>
      <c r="BE83" s="51">
        <v>0.8833333333333333</v>
      </c>
      <c r="BF83" s="51">
        <v>0.26111111111111113</v>
      </c>
      <c r="BG83" s="51">
        <v>0.85972222222222217</v>
      </c>
      <c r="BH83" s="52" t="s">
        <v>432</v>
      </c>
      <c r="BI83" s="60">
        <v>93.332999999999998</v>
      </c>
      <c r="BL83" s="61">
        <v>18</v>
      </c>
      <c r="BM83" s="53" t="s">
        <v>534</v>
      </c>
      <c r="BN83" s="53" t="s">
        <v>535</v>
      </c>
      <c r="BO83" s="54">
        <v>0.60711805555555554</v>
      </c>
      <c r="BP83" s="53" t="s">
        <v>536</v>
      </c>
      <c r="BQ83" s="55">
        <v>0.17500000000000002</v>
      </c>
      <c r="BR83" s="56">
        <v>0.94166666666666676</v>
      </c>
      <c r="BS83" s="56">
        <v>0.20555555555555557</v>
      </c>
      <c r="BT83" s="56">
        <v>0.91111111111111109</v>
      </c>
      <c r="BU83" s="56">
        <v>0.23263888888888887</v>
      </c>
      <c r="BV83" s="56">
        <v>0.88402777777777775</v>
      </c>
      <c r="BW83" s="57" t="s">
        <v>537</v>
      </c>
      <c r="BX83" s="62">
        <v>94.042000000000002</v>
      </c>
      <c r="BZ83" s="59">
        <v>17</v>
      </c>
      <c r="CA83" s="48" t="s">
        <v>605</v>
      </c>
      <c r="CB83" s="48" t="s">
        <v>620</v>
      </c>
      <c r="CC83" s="49">
        <v>0.62894675925925925</v>
      </c>
      <c r="CD83" s="48" t="s">
        <v>622</v>
      </c>
      <c r="CE83" s="50">
        <v>0.15902777777777777</v>
      </c>
      <c r="CF83" s="51">
        <v>0.96388888888888891</v>
      </c>
      <c r="CG83" s="51">
        <v>0.19375000000000001</v>
      </c>
      <c r="CH83" s="51">
        <v>0.92847222222222225</v>
      </c>
      <c r="CI83" s="51">
        <v>0.22361111111111109</v>
      </c>
      <c r="CJ83" s="51">
        <v>0.89861111111111114</v>
      </c>
      <c r="CK83" s="52" t="s">
        <v>619</v>
      </c>
      <c r="CL83" s="60">
        <v>94.444000000000003</v>
      </c>
      <c r="CN83" s="61">
        <v>18</v>
      </c>
      <c r="CO83" s="53" t="s">
        <v>705</v>
      </c>
      <c r="CP83" s="53" t="s">
        <v>702</v>
      </c>
      <c r="CQ83" s="54">
        <v>0.61332175925925925</v>
      </c>
      <c r="CR83" s="53" t="s">
        <v>706</v>
      </c>
      <c r="CS83" s="55">
        <v>0.17569444444444446</v>
      </c>
      <c r="CT83" s="56">
        <v>0.95277777777777783</v>
      </c>
      <c r="CU83" s="56">
        <v>0.2076388888888889</v>
      </c>
      <c r="CV83" s="56">
        <v>0.92152777777777783</v>
      </c>
      <c r="CW83" s="56">
        <v>0.23541666666666669</v>
      </c>
      <c r="CX83" s="56">
        <v>0.89374999999999993</v>
      </c>
      <c r="CY83" s="57" t="s">
        <v>707</v>
      </c>
      <c r="CZ83" s="62">
        <v>94.462999999999994</v>
      </c>
      <c r="DB83" s="61">
        <v>18</v>
      </c>
      <c r="DC83" s="53" t="s">
        <v>827</v>
      </c>
      <c r="DD83" s="53" t="s">
        <v>828</v>
      </c>
      <c r="DE83" s="54">
        <v>0.56880787037037039</v>
      </c>
      <c r="DF83" s="53" t="s">
        <v>829</v>
      </c>
      <c r="DG83" s="55">
        <v>0.2076388888888889</v>
      </c>
      <c r="DH83" s="56">
        <v>0.91736111111111107</v>
      </c>
      <c r="DI83" s="56">
        <v>0.23333333333333331</v>
      </c>
      <c r="DJ83" s="56">
        <v>0.89166666666666661</v>
      </c>
      <c r="DK83" s="56">
        <v>0.25833333333333336</v>
      </c>
      <c r="DL83" s="56">
        <v>0.86736111111111114</v>
      </c>
      <c r="DM83" s="57" t="s">
        <v>830</v>
      </c>
      <c r="DN83" s="62">
        <v>94.073999999999998</v>
      </c>
      <c r="DP83" s="59">
        <v>17</v>
      </c>
      <c r="DQ83" s="48" t="s">
        <v>929</v>
      </c>
      <c r="DR83" s="48" t="s">
        <v>930</v>
      </c>
      <c r="DS83" s="49">
        <v>0.51487268518518514</v>
      </c>
      <c r="DT83" s="48" t="s">
        <v>924</v>
      </c>
      <c r="DU83" s="50">
        <v>0.23402777777777781</v>
      </c>
      <c r="DV83" s="51">
        <v>0.87777777777777777</v>
      </c>
      <c r="DW83" s="51">
        <v>0.25694444444444448</v>
      </c>
      <c r="DX83" s="51">
        <v>0.85486111111111107</v>
      </c>
      <c r="DY83" s="51">
        <v>0.27986111111111112</v>
      </c>
      <c r="DZ83" s="51">
        <v>0.83263888888888893</v>
      </c>
      <c r="EA83" s="52" t="s">
        <v>931</v>
      </c>
      <c r="EB83" s="60">
        <v>93.403999999999996</v>
      </c>
      <c r="ED83" s="61">
        <v>18</v>
      </c>
      <c r="EE83" s="53" t="s">
        <v>1023</v>
      </c>
      <c r="EF83" s="53" t="s">
        <v>1024</v>
      </c>
      <c r="EG83" s="54">
        <v>0.45770833333333333</v>
      </c>
      <c r="EH83" s="53" t="s">
        <v>868</v>
      </c>
      <c r="EI83" s="55">
        <v>0.25763888888888892</v>
      </c>
      <c r="EJ83" s="56">
        <v>0.84236111111111101</v>
      </c>
      <c r="EK83" s="56">
        <v>0.27986111111111112</v>
      </c>
      <c r="EL83" s="56">
        <v>0.82013888888888886</v>
      </c>
      <c r="EM83" s="56">
        <v>0.30138888888888887</v>
      </c>
      <c r="EN83" s="56">
        <v>0.79791666666666661</v>
      </c>
      <c r="EO83" s="57" t="s">
        <v>1025</v>
      </c>
      <c r="EP83" s="62">
        <v>92.587000000000003</v>
      </c>
      <c r="ER83" s="61">
        <v>17</v>
      </c>
      <c r="ES83" s="53" t="s">
        <v>1119</v>
      </c>
      <c r="ET83" s="53" t="s">
        <v>1120</v>
      </c>
      <c r="EU83" s="54">
        <v>0.40962962962962962</v>
      </c>
      <c r="EV83" s="53" t="s">
        <v>744</v>
      </c>
      <c r="EW83" s="55">
        <v>0.23750000000000002</v>
      </c>
      <c r="EX83" s="56">
        <v>0.77916666666666667</v>
      </c>
      <c r="EY83" s="56">
        <v>0.25972222222222224</v>
      </c>
      <c r="EZ83" s="56">
        <v>0.75694444444444453</v>
      </c>
      <c r="FA83" s="56">
        <v>0.28263888888888888</v>
      </c>
      <c r="FB83" s="56">
        <v>0.73333333333333339</v>
      </c>
      <c r="FC83" s="57" t="s">
        <v>1121</v>
      </c>
      <c r="FD83" s="62">
        <v>91.885999999999996</v>
      </c>
      <c r="FF83" s="61">
        <v>18</v>
      </c>
      <c r="FG83" s="53" t="s">
        <v>1214</v>
      </c>
      <c r="FH83" s="53" t="s">
        <v>1216</v>
      </c>
      <c r="FI83" s="54">
        <v>0.38554398148148145</v>
      </c>
      <c r="FJ83" s="53" t="s">
        <v>637</v>
      </c>
      <c r="FK83" s="55">
        <v>0.25555555555555559</v>
      </c>
      <c r="FL83" s="56">
        <v>0.77777777777777779</v>
      </c>
      <c r="FM83" s="56">
        <v>0.27847222222222223</v>
      </c>
      <c r="FN83" s="56">
        <v>0.75486111111111109</v>
      </c>
      <c r="FO83" s="56">
        <v>0.30208333333333331</v>
      </c>
      <c r="FP83" s="56">
        <v>0.73125000000000007</v>
      </c>
      <c r="FQ83" s="57" t="s">
        <v>1215</v>
      </c>
      <c r="FR83" s="62">
        <v>91.459000000000003</v>
      </c>
    </row>
    <row r="84" spans="1:174" ht="20.25" thickBot="1" x14ac:dyDescent="0.3">
      <c r="A84">
        <v>9</v>
      </c>
      <c r="B84">
        <v>41</v>
      </c>
      <c r="C84" s="59">
        <v>19</v>
      </c>
      <c r="D84" s="48" t="s">
        <v>120</v>
      </c>
      <c r="E84" s="48" t="s">
        <v>121</v>
      </c>
      <c r="F84" s="70">
        <v>0.40349537037037037</v>
      </c>
      <c r="G84" s="48" t="s">
        <v>122</v>
      </c>
      <c r="H84" s="50">
        <v>0.25763888888888892</v>
      </c>
      <c r="I84" s="51">
        <v>0.79513888888888884</v>
      </c>
      <c r="J84" s="51">
        <v>0.28055555555555556</v>
      </c>
      <c r="K84" s="51">
        <v>0.77222222222222225</v>
      </c>
      <c r="L84" s="51">
        <v>0.3034722222222222</v>
      </c>
      <c r="M84" s="51">
        <v>0.74861111111111101</v>
      </c>
      <c r="N84" s="52" t="s">
        <v>123</v>
      </c>
      <c r="O84" s="60">
        <v>91.459000000000003</v>
      </c>
      <c r="Q84" s="59">
        <v>17</v>
      </c>
      <c r="R84" s="59"/>
      <c r="S84" s="48" t="s">
        <v>235</v>
      </c>
      <c r="T84" s="48" t="s">
        <v>236</v>
      </c>
      <c r="U84" s="49">
        <v>0.44782407407407404</v>
      </c>
      <c r="V84" s="48" t="s">
        <v>233</v>
      </c>
      <c r="W84" s="50">
        <v>0.24097222222222223</v>
      </c>
      <c r="X84" s="51">
        <v>0.81666666666666676</v>
      </c>
      <c r="Y84" s="51">
        <v>0.26319444444444445</v>
      </c>
      <c r="Z84" s="51">
        <v>0.7944444444444444</v>
      </c>
      <c r="AA84" s="51">
        <v>0.28541666666666665</v>
      </c>
      <c r="AB84" s="51">
        <v>0.77222222222222225</v>
      </c>
      <c r="AC84" s="52" t="s">
        <v>237</v>
      </c>
      <c r="AD84" s="91"/>
      <c r="AE84" s="91"/>
      <c r="AF84" s="91"/>
      <c r="AG84" s="91"/>
      <c r="AH84" s="60">
        <v>91.850999999999999</v>
      </c>
      <c r="AJ84" s="61">
        <v>19</v>
      </c>
      <c r="AK84" s="53" t="s">
        <v>342</v>
      </c>
      <c r="AL84" s="53" t="s">
        <v>343</v>
      </c>
      <c r="AM84" s="54">
        <v>0.50528935185185186</v>
      </c>
      <c r="AN84" s="53" t="s">
        <v>321</v>
      </c>
      <c r="AO84" s="55">
        <v>0.24930555555555556</v>
      </c>
      <c r="AP84" s="56">
        <v>0.88263888888888886</v>
      </c>
      <c r="AQ84" s="56">
        <v>0.2722222222222222</v>
      </c>
      <c r="AR84" s="56">
        <v>0.85972222222222217</v>
      </c>
      <c r="AS84" s="56">
        <v>0.29444444444444445</v>
      </c>
      <c r="AT84" s="56">
        <v>0.83750000000000002</v>
      </c>
      <c r="AU84" s="57" t="s">
        <v>344</v>
      </c>
      <c r="AV84" s="62">
        <v>92.566000000000003</v>
      </c>
      <c r="AW84" s="61">
        <v>18</v>
      </c>
      <c r="AX84" s="53" t="s">
        <v>433</v>
      </c>
      <c r="AY84" s="53" t="s">
        <v>434</v>
      </c>
      <c r="AZ84" s="54">
        <v>0.56072916666666661</v>
      </c>
      <c r="BA84" s="53" t="s">
        <v>240</v>
      </c>
      <c r="BB84" s="55">
        <v>0.21041666666666667</v>
      </c>
      <c r="BC84" s="56">
        <v>0.90972222222222221</v>
      </c>
      <c r="BD84" s="56">
        <v>0.23611111111111113</v>
      </c>
      <c r="BE84" s="56">
        <v>0.8847222222222223</v>
      </c>
      <c r="BF84" s="56">
        <v>0.25972222222222224</v>
      </c>
      <c r="BG84" s="56">
        <v>0.86041666666666661</v>
      </c>
      <c r="BH84" s="57" t="s">
        <v>435</v>
      </c>
      <c r="BI84" s="62">
        <v>93.358999999999995</v>
      </c>
      <c r="BL84" s="59">
        <v>19</v>
      </c>
      <c r="BM84" s="48" t="s">
        <v>538</v>
      </c>
      <c r="BN84" s="48" t="s">
        <v>539</v>
      </c>
      <c r="BO84" s="49">
        <v>0.60834490740740743</v>
      </c>
      <c r="BP84" s="48" t="s">
        <v>540</v>
      </c>
      <c r="BQ84" s="50">
        <v>0.17430555555555557</v>
      </c>
      <c r="BR84" s="51">
        <v>0.94305555555555554</v>
      </c>
      <c r="BS84" s="51">
        <v>0.20486111111111113</v>
      </c>
      <c r="BT84" s="51">
        <v>0.91180555555555554</v>
      </c>
      <c r="BU84" s="51">
        <v>0.23194444444444443</v>
      </c>
      <c r="BV84" s="51">
        <v>0.8847222222222223</v>
      </c>
      <c r="BW84" s="52" t="s">
        <v>541</v>
      </c>
      <c r="BX84" s="60">
        <v>94.06</v>
      </c>
      <c r="BZ84" s="61">
        <v>18</v>
      </c>
      <c r="CA84" s="53" t="s">
        <v>605</v>
      </c>
      <c r="CB84" s="53" t="s">
        <v>623</v>
      </c>
      <c r="CC84" s="54">
        <v>0.62906249999999997</v>
      </c>
      <c r="CD84" s="53" t="s">
        <v>624</v>
      </c>
      <c r="CE84" s="55">
        <v>0.15902777777777777</v>
      </c>
      <c r="CF84" s="56">
        <v>0.96388888888888891</v>
      </c>
      <c r="CG84" s="56">
        <v>0.19375000000000001</v>
      </c>
      <c r="CH84" s="56">
        <v>0.9291666666666667</v>
      </c>
      <c r="CI84" s="56">
        <v>0.22361111111111109</v>
      </c>
      <c r="CJ84" s="56">
        <v>0.89930555555555547</v>
      </c>
      <c r="CK84" s="57" t="s">
        <v>625</v>
      </c>
      <c r="CL84" s="62">
        <v>94.450999999999993</v>
      </c>
      <c r="CN84" s="59">
        <v>19</v>
      </c>
      <c r="CO84" s="48" t="s">
        <v>705</v>
      </c>
      <c r="CP84" s="48" t="s">
        <v>708</v>
      </c>
      <c r="CQ84" s="49">
        <v>0.61222222222222222</v>
      </c>
      <c r="CR84" s="48" t="s">
        <v>709</v>
      </c>
      <c r="CS84" s="50">
        <v>0.17708333333333334</v>
      </c>
      <c r="CT84" s="51">
        <v>0.95208333333333339</v>
      </c>
      <c r="CU84" s="51">
        <v>0.20833333333333334</v>
      </c>
      <c r="CV84" s="51">
        <v>0.92083333333333339</v>
      </c>
      <c r="CW84" s="51">
        <v>0.23611111111111113</v>
      </c>
      <c r="CX84" s="51">
        <v>0.8930555555555556</v>
      </c>
      <c r="CY84" s="52" t="s">
        <v>710</v>
      </c>
      <c r="CZ84" s="60">
        <v>94.456999999999994</v>
      </c>
      <c r="DB84" s="59">
        <v>19</v>
      </c>
      <c r="DC84" s="48" t="s">
        <v>831</v>
      </c>
      <c r="DD84" s="48" t="s">
        <v>832</v>
      </c>
      <c r="DE84" s="49">
        <v>0.56711805555555561</v>
      </c>
      <c r="DF84" s="48" t="s">
        <v>833</v>
      </c>
      <c r="DG84" s="50">
        <v>0.20833333333333334</v>
      </c>
      <c r="DH84" s="51">
        <v>0.91666666666666663</v>
      </c>
      <c r="DI84" s="51">
        <v>0.23472222222222219</v>
      </c>
      <c r="DJ84" s="51">
        <v>0.89027777777777783</v>
      </c>
      <c r="DK84" s="51">
        <v>0.2590277777777778</v>
      </c>
      <c r="DL84" s="51">
        <v>0.86597222222222225</v>
      </c>
      <c r="DM84" s="52" t="s">
        <v>834</v>
      </c>
      <c r="DN84" s="60">
        <v>94.055999999999997</v>
      </c>
      <c r="DP84" s="61">
        <v>18</v>
      </c>
      <c r="DQ84" s="53" t="s">
        <v>932</v>
      </c>
      <c r="DR84" s="53" t="s">
        <v>933</v>
      </c>
      <c r="DS84" s="54">
        <v>0.51300925925925933</v>
      </c>
      <c r="DT84" s="53" t="s">
        <v>924</v>
      </c>
      <c r="DU84" s="55">
        <v>0.23541666666666669</v>
      </c>
      <c r="DV84" s="56">
        <v>0.87638888888888899</v>
      </c>
      <c r="DW84" s="56">
        <v>0.25833333333333336</v>
      </c>
      <c r="DX84" s="56">
        <v>0.8534722222222223</v>
      </c>
      <c r="DY84" s="56">
        <v>0.28055555555555556</v>
      </c>
      <c r="DZ84" s="56">
        <v>0.83124999999999993</v>
      </c>
      <c r="EA84" s="57" t="s">
        <v>934</v>
      </c>
      <c r="EB84" s="62">
        <v>93.379000000000005</v>
      </c>
      <c r="ED84" s="59">
        <v>19</v>
      </c>
      <c r="EE84" s="48" t="s">
        <v>1026</v>
      </c>
      <c r="EF84" s="48" t="s">
        <v>1027</v>
      </c>
      <c r="EG84" s="49">
        <v>0.4559259259259259</v>
      </c>
      <c r="EH84" s="48" t="s">
        <v>868</v>
      </c>
      <c r="EI84" s="50">
        <v>0.25833333333333336</v>
      </c>
      <c r="EJ84" s="51">
        <v>0.84097222222222223</v>
      </c>
      <c r="EK84" s="51">
        <v>0.28055555555555556</v>
      </c>
      <c r="EL84" s="51">
        <v>0.81874999999999998</v>
      </c>
      <c r="EM84" s="51">
        <v>0.30277777777777776</v>
      </c>
      <c r="EN84" s="51">
        <v>0.79722222222222217</v>
      </c>
      <c r="EO84" s="52" t="s">
        <v>1028</v>
      </c>
      <c r="EP84" s="60">
        <v>92.561000000000007</v>
      </c>
      <c r="ER84" s="59">
        <v>18</v>
      </c>
      <c r="ES84" s="48" t="s">
        <v>1122</v>
      </c>
      <c r="ET84" s="48" t="s">
        <v>1123</v>
      </c>
      <c r="EU84" s="49">
        <v>0.40833333333333338</v>
      </c>
      <c r="EV84" s="48" t="s">
        <v>1124</v>
      </c>
      <c r="EW84" s="50">
        <v>0.23819444444444446</v>
      </c>
      <c r="EX84" s="51">
        <v>0.77916666666666667</v>
      </c>
      <c r="EY84" s="51">
        <v>0.26041666666666669</v>
      </c>
      <c r="EZ84" s="51">
        <v>0.75624999999999998</v>
      </c>
      <c r="FA84" s="51">
        <v>0.28402777777777777</v>
      </c>
      <c r="FB84" s="51">
        <v>0.73333333333333339</v>
      </c>
      <c r="FC84" s="52" t="s">
        <v>1125</v>
      </c>
      <c r="FD84" s="60">
        <v>91.867000000000004</v>
      </c>
      <c r="FF84" s="59">
        <v>19</v>
      </c>
      <c r="FG84" s="48" t="s">
        <v>1217</v>
      </c>
      <c r="FH84" s="48" t="s">
        <v>1216</v>
      </c>
      <c r="FI84" s="49">
        <v>0.38543981481481482</v>
      </c>
      <c r="FJ84" s="48" t="s">
        <v>635</v>
      </c>
      <c r="FK84" s="50">
        <v>0.25555555555555559</v>
      </c>
      <c r="FL84" s="51">
        <v>0.77847222222222223</v>
      </c>
      <c r="FM84" s="51">
        <v>0.27847222222222223</v>
      </c>
      <c r="FN84" s="51">
        <v>0.75555555555555554</v>
      </c>
      <c r="FO84" s="51">
        <v>0.30277777777777776</v>
      </c>
      <c r="FP84" s="51">
        <v>0.73125000000000007</v>
      </c>
      <c r="FQ84" s="52" t="s">
        <v>1218</v>
      </c>
      <c r="FR84" s="60">
        <v>91.451999999999998</v>
      </c>
    </row>
    <row r="85" spans="1:174" ht="20.25" thickBot="1" x14ac:dyDescent="0.3">
      <c r="A85">
        <v>9</v>
      </c>
      <c r="B85">
        <v>42</v>
      </c>
      <c r="C85" s="61">
        <v>20</v>
      </c>
      <c r="D85" s="53" t="s">
        <v>124</v>
      </c>
      <c r="E85" s="53" t="s">
        <v>125</v>
      </c>
      <c r="F85" s="71">
        <v>0.40469907407407407</v>
      </c>
      <c r="G85" s="53" t="s">
        <v>126</v>
      </c>
      <c r="H85" s="55">
        <v>0.25763888888888892</v>
      </c>
      <c r="I85" s="56">
        <v>0.79583333333333339</v>
      </c>
      <c r="J85" s="56">
        <v>0.27986111111111112</v>
      </c>
      <c r="K85" s="56">
        <v>0.7729166666666667</v>
      </c>
      <c r="L85" s="56">
        <v>0.3034722222222222</v>
      </c>
      <c r="M85" s="56">
        <v>0.74930555555555556</v>
      </c>
      <c r="N85" s="57" t="s">
        <v>127</v>
      </c>
      <c r="O85" s="62">
        <v>91.465999999999994</v>
      </c>
      <c r="Q85" s="61">
        <v>18</v>
      </c>
      <c r="R85" s="98"/>
      <c r="S85" s="53" t="s">
        <v>238</v>
      </c>
      <c r="T85" s="53" t="s">
        <v>239</v>
      </c>
      <c r="U85" s="54">
        <v>0.44958333333333328</v>
      </c>
      <c r="V85" s="53" t="s">
        <v>240</v>
      </c>
      <c r="W85" s="55">
        <v>0.24027777777777778</v>
      </c>
      <c r="X85" s="56">
        <v>0.81736111111111109</v>
      </c>
      <c r="Y85" s="56">
        <v>0.26250000000000001</v>
      </c>
      <c r="Z85" s="56">
        <v>0.79513888888888884</v>
      </c>
      <c r="AA85" s="56">
        <v>0.28472222222222221</v>
      </c>
      <c r="AB85" s="56">
        <v>0.7729166666666667</v>
      </c>
      <c r="AC85" s="57" t="s">
        <v>241</v>
      </c>
      <c r="AD85" s="92"/>
      <c r="AE85" s="92"/>
      <c r="AF85" s="92"/>
      <c r="AG85" s="92"/>
      <c r="AH85" s="62">
        <v>91.869</v>
      </c>
      <c r="AJ85" s="59">
        <v>20</v>
      </c>
      <c r="AK85" s="48" t="s">
        <v>345</v>
      </c>
      <c r="AL85" s="48" t="s">
        <v>346</v>
      </c>
      <c r="AM85" s="49">
        <v>0.50717592592592597</v>
      </c>
      <c r="AN85" s="48" t="s">
        <v>321</v>
      </c>
      <c r="AO85" s="50">
        <v>0.24861111111111112</v>
      </c>
      <c r="AP85" s="51">
        <v>0.8833333333333333</v>
      </c>
      <c r="AQ85" s="51">
        <v>0.27083333333333331</v>
      </c>
      <c r="AR85" s="51">
        <v>0.86041666666666661</v>
      </c>
      <c r="AS85" s="51">
        <v>0.29305555555555557</v>
      </c>
      <c r="AT85" s="51">
        <v>0.83819444444444446</v>
      </c>
      <c r="AU85" s="52" t="s">
        <v>347</v>
      </c>
      <c r="AV85" s="60">
        <v>92.590999999999994</v>
      </c>
      <c r="AW85" s="59">
        <v>19</v>
      </c>
      <c r="AX85" s="48" t="s">
        <v>436</v>
      </c>
      <c r="AY85" s="48" t="s">
        <v>437</v>
      </c>
      <c r="AZ85" s="49">
        <v>0.56248842592592596</v>
      </c>
      <c r="BA85" s="48" t="s">
        <v>233</v>
      </c>
      <c r="BB85" s="50">
        <v>0.20902777777777778</v>
      </c>
      <c r="BC85" s="51">
        <v>0.91111111111111109</v>
      </c>
      <c r="BD85" s="51">
        <v>0.23472222222222219</v>
      </c>
      <c r="BE85" s="51">
        <v>0.88541666666666663</v>
      </c>
      <c r="BF85" s="51">
        <v>0.2590277777777778</v>
      </c>
      <c r="BG85" s="51">
        <v>0.86111111111111116</v>
      </c>
      <c r="BH85" s="52" t="s">
        <v>438</v>
      </c>
      <c r="BI85" s="60">
        <v>93.384</v>
      </c>
      <c r="BL85" s="61">
        <v>20</v>
      </c>
      <c r="BM85" s="53" t="s">
        <v>542</v>
      </c>
      <c r="BN85" s="53" t="s">
        <v>543</v>
      </c>
      <c r="BO85" s="54">
        <v>0.6095370370370371</v>
      </c>
      <c r="BP85" s="53" t="s">
        <v>126</v>
      </c>
      <c r="BQ85" s="55">
        <v>0.17291666666666669</v>
      </c>
      <c r="BR85" s="56">
        <v>0.94374999999999998</v>
      </c>
      <c r="BS85" s="56">
        <v>0.20416666666666669</v>
      </c>
      <c r="BT85" s="56">
        <v>0.91249999999999998</v>
      </c>
      <c r="BU85" s="56">
        <v>0.23124999999999998</v>
      </c>
      <c r="BV85" s="56">
        <v>0.88541666666666663</v>
      </c>
      <c r="BW85" s="57" t="s">
        <v>544</v>
      </c>
      <c r="BX85" s="62">
        <v>94.078999999999994</v>
      </c>
      <c r="BZ85" s="59">
        <v>19</v>
      </c>
      <c r="CA85" s="48" t="s">
        <v>626</v>
      </c>
      <c r="CB85" s="48" t="s">
        <v>627</v>
      </c>
      <c r="CC85" s="49">
        <v>0.62913194444444442</v>
      </c>
      <c r="CD85" s="48" t="s">
        <v>628</v>
      </c>
      <c r="CE85" s="50">
        <v>0.15902777777777777</v>
      </c>
      <c r="CF85" s="51">
        <v>0.96388888888888891</v>
      </c>
      <c r="CG85" s="51">
        <v>0.19375000000000001</v>
      </c>
      <c r="CH85" s="51">
        <v>0.9291666666666667</v>
      </c>
      <c r="CI85" s="51">
        <v>0.22361111111111109</v>
      </c>
      <c r="CJ85" s="51">
        <v>0.89930555555555547</v>
      </c>
      <c r="CK85" s="52" t="s">
        <v>629</v>
      </c>
      <c r="CL85" s="60">
        <v>94.457999999999998</v>
      </c>
      <c r="CN85" s="61">
        <v>20</v>
      </c>
      <c r="CO85" s="53" t="s">
        <v>711</v>
      </c>
      <c r="CP85" s="53" t="s">
        <v>712</v>
      </c>
      <c r="CQ85" s="54">
        <v>0.61111111111111105</v>
      </c>
      <c r="CR85" s="53" t="s">
        <v>713</v>
      </c>
      <c r="CS85" s="55">
        <v>0.17777777777777778</v>
      </c>
      <c r="CT85" s="56">
        <v>0.95138888888888884</v>
      </c>
      <c r="CU85" s="56">
        <v>0.20902777777777778</v>
      </c>
      <c r="CV85" s="56">
        <v>0.92013888888888884</v>
      </c>
      <c r="CW85" s="56">
        <v>0.23680555555555557</v>
      </c>
      <c r="CX85" s="56">
        <v>0.89236111111111116</v>
      </c>
      <c r="CY85" s="57" t="s">
        <v>714</v>
      </c>
      <c r="CZ85" s="62">
        <v>94.45</v>
      </c>
      <c r="DB85" s="61">
        <v>20</v>
      </c>
      <c r="DC85" s="53" t="s">
        <v>835</v>
      </c>
      <c r="DD85" s="53" t="s">
        <v>836</v>
      </c>
      <c r="DE85" s="54">
        <v>0.56540509259259253</v>
      </c>
      <c r="DF85" s="53" t="s">
        <v>837</v>
      </c>
      <c r="DG85" s="55">
        <v>0.20972222222222223</v>
      </c>
      <c r="DH85" s="56">
        <v>0.91527777777777775</v>
      </c>
      <c r="DI85" s="56">
        <v>0.23541666666666669</v>
      </c>
      <c r="DJ85" s="56">
        <v>0.88958333333333339</v>
      </c>
      <c r="DK85" s="56">
        <v>0.25972222222222224</v>
      </c>
      <c r="DL85" s="56">
        <v>0.8652777777777777</v>
      </c>
      <c r="DM85" s="57" t="s">
        <v>838</v>
      </c>
      <c r="DN85" s="62">
        <v>94.037999999999997</v>
      </c>
      <c r="DP85" s="59">
        <v>19</v>
      </c>
      <c r="DQ85" s="48" t="s">
        <v>935</v>
      </c>
      <c r="DR85" s="48" t="s">
        <v>936</v>
      </c>
      <c r="DS85" s="49">
        <v>0.51115740740740734</v>
      </c>
      <c r="DT85" s="48" t="s">
        <v>924</v>
      </c>
      <c r="DU85" s="50">
        <v>0.23611111111111113</v>
      </c>
      <c r="DV85" s="51">
        <v>0.875</v>
      </c>
      <c r="DW85" s="51">
        <v>0.2590277777777778</v>
      </c>
      <c r="DX85" s="51">
        <v>0.85277777777777775</v>
      </c>
      <c r="DY85" s="51">
        <v>0.28125</v>
      </c>
      <c r="DZ85" s="51">
        <v>0.8305555555555556</v>
      </c>
      <c r="EA85" s="52" t="s">
        <v>937</v>
      </c>
      <c r="EB85" s="60">
        <v>93.353999999999999</v>
      </c>
      <c r="ED85" s="61">
        <v>20</v>
      </c>
      <c r="EE85" s="53" t="s">
        <v>1029</v>
      </c>
      <c r="EF85" s="53" t="s">
        <v>1030</v>
      </c>
      <c r="EG85" s="54">
        <v>0.45415509259259257</v>
      </c>
      <c r="EH85" s="53" t="s">
        <v>865</v>
      </c>
      <c r="EI85" s="55">
        <v>0.2590277777777778</v>
      </c>
      <c r="EJ85" s="56">
        <v>0.84027777777777779</v>
      </c>
      <c r="EK85" s="56">
        <v>0.28125</v>
      </c>
      <c r="EL85" s="56">
        <v>0.81805555555555554</v>
      </c>
      <c r="EM85" s="56">
        <v>0.3034722222222222</v>
      </c>
      <c r="EN85" s="56">
        <v>0.79583333333333339</v>
      </c>
      <c r="EO85" s="57" t="s">
        <v>1031</v>
      </c>
      <c r="EP85" s="62">
        <v>92.536000000000001</v>
      </c>
      <c r="ER85" s="61">
        <v>19</v>
      </c>
      <c r="ES85" s="53" t="s">
        <v>1126</v>
      </c>
      <c r="ET85" s="53" t="s">
        <v>1127</v>
      </c>
      <c r="EU85" s="54">
        <v>0.40704861111111112</v>
      </c>
      <c r="EV85" s="53" t="s">
        <v>736</v>
      </c>
      <c r="EW85" s="55">
        <v>0.2388888888888889</v>
      </c>
      <c r="EX85" s="56">
        <v>0.77847222222222223</v>
      </c>
      <c r="EY85" s="56">
        <v>0.26111111111111113</v>
      </c>
      <c r="EZ85" s="56">
        <v>0.75624999999999998</v>
      </c>
      <c r="FA85" s="56">
        <v>0.28472222222222221</v>
      </c>
      <c r="FB85" s="56">
        <v>0.73263888888888884</v>
      </c>
      <c r="FC85" s="57" t="s">
        <v>1128</v>
      </c>
      <c r="FD85" s="62">
        <v>91.847999999999999</v>
      </c>
      <c r="FF85" s="61">
        <v>20</v>
      </c>
      <c r="FG85" s="53" t="s">
        <v>1219</v>
      </c>
      <c r="FH85" s="53" t="s">
        <v>1216</v>
      </c>
      <c r="FI85" s="54">
        <v>0.38538194444444446</v>
      </c>
      <c r="FJ85" s="53" t="s">
        <v>1220</v>
      </c>
      <c r="FK85" s="55">
        <v>0.25625000000000003</v>
      </c>
      <c r="FL85" s="56">
        <v>0.77847222222222223</v>
      </c>
      <c r="FM85" s="56">
        <v>0.27916666666666667</v>
      </c>
      <c r="FN85" s="56">
        <v>0.75555555555555554</v>
      </c>
      <c r="FO85" s="56">
        <v>0.3034722222222222</v>
      </c>
      <c r="FP85" s="56">
        <v>0.73125000000000007</v>
      </c>
      <c r="FQ85" s="57" t="s">
        <v>1218</v>
      </c>
      <c r="FR85" s="62">
        <v>91.445999999999998</v>
      </c>
    </row>
    <row r="86" spans="1:174" ht="20.25" thickBot="1" x14ac:dyDescent="0.3">
      <c r="A86">
        <v>9</v>
      </c>
      <c r="B86">
        <v>44</v>
      </c>
      <c r="C86" s="59">
        <v>21</v>
      </c>
      <c r="D86" s="48" t="s">
        <v>128</v>
      </c>
      <c r="E86" s="48" t="s">
        <v>129</v>
      </c>
      <c r="F86" s="70">
        <v>0.40593750000000001</v>
      </c>
      <c r="G86" s="48" t="s">
        <v>130</v>
      </c>
      <c r="H86" s="50">
        <v>0.25694444444444448</v>
      </c>
      <c r="I86" s="51">
        <v>0.79652777777777783</v>
      </c>
      <c r="J86" s="51">
        <v>0.27986111111111112</v>
      </c>
      <c r="K86" s="51">
        <v>0.77361111111111114</v>
      </c>
      <c r="L86" s="51">
        <v>0.30277777777777776</v>
      </c>
      <c r="M86" s="51">
        <v>0.75069444444444444</v>
      </c>
      <c r="N86" s="52" t="s">
        <v>131</v>
      </c>
      <c r="O86" s="60">
        <v>91.474000000000004</v>
      </c>
      <c r="Q86" s="59">
        <v>19</v>
      </c>
      <c r="R86" s="59"/>
      <c r="S86" s="48" t="s">
        <v>242</v>
      </c>
      <c r="T86" s="48" t="s">
        <v>243</v>
      </c>
      <c r="U86" s="49">
        <v>0.45136574074074076</v>
      </c>
      <c r="V86" s="48" t="s">
        <v>244</v>
      </c>
      <c r="W86" s="50">
        <v>0.23958333333333334</v>
      </c>
      <c r="X86" s="51">
        <v>0.81805555555555554</v>
      </c>
      <c r="Y86" s="51">
        <v>0.26111111111111113</v>
      </c>
      <c r="Z86" s="51">
        <v>0.79583333333333339</v>
      </c>
      <c r="AA86" s="51">
        <v>0.28333333333333333</v>
      </c>
      <c r="AB86" s="51">
        <v>0.77361111111111114</v>
      </c>
      <c r="AC86" s="52" t="s">
        <v>245</v>
      </c>
      <c r="AD86" s="91"/>
      <c r="AE86" s="91"/>
      <c r="AF86" s="91"/>
      <c r="AG86" s="91"/>
      <c r="AH86" s="60">
        <v>91.888999999999996</v>
      </c>
      <c r="AJ86" s="61">
        <v>21</v>
      </c>
      <c r="AK86" s="53" t="s">
        <v>348</v>
      </c>
      <c r="AL86" s="53" t="s">
        <v>349</v>
      </c>
      <c r="AM86" s="54">
        <v>0.50906249999999997</v>
      </c>
      <c r="AN86" s="53" t="s">
        <v>321</v>
      </c>
      <c r="AO86" s="55">
        <v>0.24722222222222223</v>
      </c>
      <c r="AP86" s="56">
        <v>0.88402777777777775</v>
      </c>
      <c r="AQ86" s="56">
        <v>0.26944444444444443</v>
      </c>
      <c r="AR86" s="56">
        <v>0.86111111111111116</v>
      </c>
      <c r="AS86" s="56">
        <v>0.29236111111111113</v>
      </c>
      <c r="AT86" s="56">
        <v>0.83888888888888891</v>
      </c>
      <c r="AU86" s="57" t="s">
        <v>350</v>
      </c>
      <c r="AV86" s="62">
        <v>92.617000000000004</v>
      </c>
      <c r="AW86" s="61">
        <v>20</v>
      </c>
      <c r="AX86" s="53" t="s">
        <v>439</v>
      </c>
      <c r="AY86" s="53" t="s">
        <v>440</v>
      </c>
      <c r="AZ86" s="54">
        <v>0.56423611111111105</v>
      </c>
      <c r="BA86" s="53" t="s">
        <v>229</v>
      </c>
      <c r="BB86" s="55">
        <v>0.20833333333333334</v>
      </c>
      <c r="BC86" s="56">
        <v>0.91180555555555554</v>
      </c>
      <c r="BD86" s="56">
        <v>0.23333333333333331</v>
      </c>
      <c r="BE86" s="56">
        <v>0.88611111111111107</v>
      </c>
      <c r="BF86" s="56">
        <v>0.25763888888888892</v>
      </c>
      <c r="BG86" s="56">
        <v>0.8618055555555556</v>
      </c>
      <c r="BH86" s="57" t="s">
        <v>441</v>
      </c>
      <c r="BI86" s="62">
        <v>93.409000000000006</v>
      </c>
      <c r="BL86" s="59">
        <v>21</v>
      </c>
      <c r="BM86" s="48" t="s">
        <v>545</v>
      </c>
      <c r="BN86" s="48" t="s">
        <v>546</v>
      </c>
      <c r="BO86" s="49">
        <v>0.61070601851851858</v>
      </c>
      <c r="BP86" s="48" t="s">
        <v>547</v>
      </c>
      <c r="BQ86" s="50">
        <v>0.17222222222222225</v>
      </c>
      <c r="BR86" s="51">
        <v>0.94513888888888886</v>
      </c>
      <c r="BS86" s="51">
        <v>0.20347222222222219</v>
      </c>
      <c r="BT86" s="51">
        <v>0.91319444444444453</v>
      </c>
      <c r="BU86" s="51">
        <v>0.23055555555555554</v>
      </c>
      <c r="BV86" s="51">
        <v>0.88611111111111107</v>
      </c>
      <c r="BW86" s="52" t="s">
        <v>548</v>
      </c>
      <c r="BX86" s="60">
        <v>94.096999999999994</v>
      </c>
      <c r="BZ86" s="61">
        <v>20</v>
      </c>
      <c r="CA86" s="53" t="s">
        <v>626</v>
      </c>
      <c r="CB86" s="53" t="s">
        <v>627</v>
      </c>
      <c r="CC86" s="54">
        <v>0.62915509259259261</v>
      </c>
      <c r="CD86" s="53" t="s">
        <v>630</v>
      </c>
      <c r="CE86" s="55">
        <v>0.15902777777777777</v>
      </c>
      <c r="CF86" s="56">
        <v>0.96458333333333324</v>
      </c>
      <c r="CG86" s="56">
        <v>0.19444444444444445</v>
      </c>
      <c r="CH86" s="56">
        <v>0.9291666666666667</v>
      </c>
      <c r="CI86" s="56">
        <v>0.22361111111111109</v>
      </c>
      <c r="CJ86" s="56">
        <v>0.89930555555555547</v>
      </c>
      <c r="CK86" s="57" t="s">
        <v>629</v>
      </c>
      <c r="CL86" s="62">
        <v>94.463999999999999</v>
      </c>
      <c r="CN86" s="59">
        <v>21</v>
      </c>
      <c r="CO86" s="48" t="s">
        <v>715</v>
      </c>
      <c r="CP86" s="48" t="s">
        <v>716</v>
      </c>
      <c r="CQ86" s="49">
        <v>0.60995370370370372</v>
      </c>
      <c r="CR86" s="48" t="s">
        <v>717</v>
      </c>
      <c r="CS86" s="50">
        <v>0.17847222222222223</v>
      </c>
      <c r="CT86" s="51">
        <v>0.95000000000000007</v>
      </c>
      <c r="CU86" s="51">
        <v>0.20972222222222223</v>
      </c>
      <c r="CV86" s="51">
        <v>0.9194444444444444</v>
      </c>
      <c r="CW86" s="51">
        <v>0.23750000000000002</v>
      </c>
      <c r="CX86" s="51">
        <v>0.89166666666666661</v>
      </c>
      <c r="CY86" s="52" t="s">
        <v>718</v>
      </c>
      <c r="CZ86" s="60">
        <v>94.442999999999998</v>
      </c>
      <c r="DB86" s="59">
        <v>21</v>
      </c>
      <c r="DC86" s="48" t="s">
        <v>839</v>
      </c>
      <c r="DD86" s="48" t="s">
        <v>840</v>
      </c>
      <c r="DE86" s="49">
        <v>0.56369212962962967</v>
      </c>
      <c r="DF86" s="48" t="s">
        <v>841</v>
      </c>
      <c r="DG86" s="50">
        <v>0.21041666666666667</v>
      </c>
      <c r="DH86" s="51">
        <v>0.91388888888888886</v>
      </c>
      <c r="DI86" s="51">
        <v>0.23611111111111113</v>
      </c>
      <c r="DJ86" s="51">
        <v>0.8881944444444444</v>
      </c>
      <c r="DK86" s="51">
        <v>0.26041666666666669</v>
      </c>
      <c r="DL86" s="51">
        <v>0.86388888888888893</v>
      </c>
      <c r="DM86" s="52" t="s">
        <v>842</v>
      </c>
      <c r="DN86" s="60">
        <v>94.019000000000005</v>
      </c>
      <c r="DP86" s="61">
        <v>20</v>
      </c>
      <c r="DQ86" s="53" t="s">
        <v>938</v>
      </c>
      <c r="DR86" s="53" t="s">
        <v>939</v>
      </c>
      <c r="DS86" s="54">
        <v>0.50929398148148153</v>
      </c>
      <c r="DT86" s="53" t="s">
        <v>924</v>
      </c>
      <c r="DU86" s="55">
        <v>0.23680555555555557</v>
      </c>
      <c r="DV86" s="56">
        <v>0.87430555555555556</v>
      </c>
      <c r="DW86" s="56">
        <v>0.25972222222222224</v>
      </c>
      <c r="DX86" s="56">
        <v>0.85138888888888886</v>
      </c>
      <c r="DY86" s="56">
        <v>0.28194444444444444</v>
      </c>
      <c r="DZ86" s="56">
        <v>0.82916666666666661</v>
      </c>
      <c r="EA86" s="57" t="s">
        <v>940</v>
      </c>
      <c r="EB86" s="62">
        <v>93.328000000000003</v>
      </c>
      <c r="ED86" s="59">
        <v>21</v>
      </c>
      <c r="EE86" s="48" t="s">
        <v>1032</v>
      </c>
      <c r="EF86" s="48" t="s">
        <v>1033</v>
      </c>
      <c r="EG86" s="49">
        <v>0.45238425925925929</v>
      </c>
      <c r="EH86" s="48" t="s">
        <v>859</v>
      </c>
      <c r="EI86" s="50">
        <v>0.25972222222222224</v>
      </c>
      <c r="EJ86" s="51">
        <v>0.83888888888888891</v>
      </c>
      <c r="EK86" s="51">
        <v>0.28194444444444444</v>
      </c>
      <c r="EL86" s="51">
        <v>0.81736111111111109</v>
      </c>
      <c r="EM86" s="51">
        <v>0.30416666666666664</v>
      </c>
      <c r="EN86" s="51">
        <v>0.79513888888888884</v>
      </c>
      <c r="EO86" s="52" t="s">
        <v>1034</v>
      </c>
      <c r="EP86" s="60">
        <v>92.510999999999996</v>
      </c>
      <c r="ER86" s="59">
        <v>20</v>
      </c>
      <c r="ES86" s="48" t="s">
        <v>1129</v>
      </c>
      <c r="ET86" s="48" t="s">
        <v>1130</v>
      </c>
      <c r="EU86" s="49">
        <v>0.4057986111111111</v>
      </c>
      <c r="EV86" s="48" t="s">
        <v>732</v>
      </c>
      <c r="EW86" s="50">
        <v>0.23958333333333334</v>
      </c>
      <c r="EX86" s="51">
        <v>0.77847222222222223</v>
      </c>
      <c r="EY86" s="51">
        <v>0.26180555555555557</v>
      </c>
      <c r="EZ86" s="51">
        <v>0.75555555555555554</v>
      </c>
      <c r="FA86" s="51">
        <v>0.28541666666666665</v>
      </c>
      <c r="FB86" s="51">
        <v>0.73263888888888884</v>
      </c>
      <c r="FC86" s="52" t="s">
        <v>1131</v>
      </c>
      <c r="FD86" s="60">
        <v>91.83</v>
      </c>
      <c r="FF86" s="59">
        <v>21</v>
      </c>
      <c r="FG86" s="48" t="s">
        <v>1219</v>
      </c>
      <c r="FH86" s="48" t="s">
        <v>1221</v>
      </c>
      <c r="FI86" s="49">
        <v>0.38538194444444446</v>
      </c>
      <c r="FJ86" s="48" t="s">
        <v>1222</v>
      </c>
      <c r="FK86" s="50">
        <v>0.25625000000000003</v>
      </c>
      <c r="FL86" s="51">
        <v>0.77916666666666667</v>
      </c>
      <c r="FM86" s="51">
        <v>0.27916666666666667</v>
      </c>
      <c r="FN86" s="51">
        <v>0.75624999999999998</v>
      </c>
      <c r="FO86" s="51">
        <v>0.3034722222222222</v>
      </c>
      <c r="FP86" s="51">
        <v>0.7319444444444444</v>
      </c>
      <c r="FQ86" s="52" t="s">
        <v>1223</v>
      </c>
      <c r="FR86" s="60">
        <v>91.441000000000003</v>
      </c>
    </row>
    <row r="87" spans="1:174" ht="20.25" thickBot="1" x14ac:dyDescent="0.3">
      <c r="A87">
        <v>9</v>
      </c>
      <c r="B87">
        <v>46</v>
      </c>
      <c r="C87" s="61">
        <v>22</v>
      </c>
      <c r="D87" s="53" t="s">
        <v>128</v>
      </c>
      <c r="E87" s="53" t="s">
        <v>132</v>
      </c>
      <c r="F87" s="71">
        <v>0.40719907407407407</v>
      </c>
      <c r="G87" s="53" t="s">
        <v>133</v>
      </c>
      <c r="H87" s="55">
        <v>0.25694444444444448</v>
      </c>
      <c r="I87" s="56">
        <v>0.79722222222222217</v>
      </c>
      <c r="J87" s="56">
        <v>0.27986111111111112</v>
      </c>
      <c r="K87" s="56">
        <v>0.77430555555555547</v>
      </c>
      <c r="L87" s="56">
        <v>0.30277777777777776</v>
      </c>
      <c r="M87" s="56">
        <v>0.75138888888888899</v>
      </c>
      <c r="N87" s="57" t="s">
        <v>134</v>
      </c>
      <c r="O87" s="62">
        <v>91.481999999999999</v>
      </c>
      <c r="Q87" s="61">
        <v>20</v>
      </c>
      <c r="R87" s="98"/>
      <c r="S87" s="53" t="s">
        <v>246</v>
      </c>
      <c r="T87" s="53" t="s">
        <v>247</v>
      </c>
      <c r="U87" s="54">
        <v>0.45314814814814813</v>
      </c>
      <c r="V87" s="53" t="s">
        <v>248</v>
      </c>
      <c r="W87" s="55">
        <v>0.23819444444444446</v>
      </c>
      <c r="X87" s="56">
        <v>0.81874999999999998</v>
      </c>
      <c r="Y87" s="56">
        <v>0.26041666666666669</v>
      </c>
      <c r="Z87" s="56">
        <v>0.79652777777777783</v>
      </c>
      <c r="AA87" s="56">
        <v>0.28263888888888888</v>
      </c>
      <c r="AB87" s="56">
        <v>0.77430555555555547</v>
      </c>
      <c r="AC87" s="57" t="s">
        <v>249</v>
      </c>
      <c r="AD87" s="92"/>
      <c r="AE87" s="92"/>
      <c r="AF87" s="92"/>
      <c r="AG87" s="92"/>
      <c r="AH87" s="62">
        <v>91.908000000000001</v>
      </c>
      <c r="AJ87" s="59">
        <v>22</v>
      </c>
      <c r="AK87" s="48" t="s">
        <v>351</v>
      </c>
      <c r="AL87" s="48" t="s">
        <v>352</v>
      </c>
      <c r="AM87" s="49">
        <v>0.51096064814814812</v>
      </c>
      <c r="AN87" s="48" t="s">
        <v>321</v>
      </c>
      <c r="AO87" s="50">
        <v>0.24583333333333335</v>
      </c>
      <c r="AP87" s="51">
        <v>0.8847222222222223</v>
      </c>
      <c r="AQ87" s="51">
        <v>0.26874999999999999</v>
      </c>
      <c r="AR87" s="51">
        <v>0.86249999999999993</v>
      </c>
      <c r="AS87" s="51">
        <v>0.29097222222222224</v>
      </c>
      <c r="AT87" s="51">
        <v>0.83958333333333324</v>
      </c>
      <c r="AU87" s="52" t="s">
        <v>353</v>
      </c>
      <c r="AV87" s="60">
        <v>92.643000000000001</v>
      </c>
      <c r="AW87" s="59">
        <v>21</v>
      </c>
      <c r="AX87" s="48" t="s">
        <v>442</v>
      </c>
      <c r="AY87" s="48" t="s">
        <v>443</v>
      </c>
      <c r="AZ87" s="49">
        <v>0.56597222222222221</v>
      </c>
      <c r="BA87" s="48" t="s">
        <v>229</v>
      </c>
      <c r="BB87" s="50">
        <v>0.20694444444444446</v>
      </c>
      <c r="BC87" s="51">
        <v>0.91319444444444453</v>
      </c>
      <c r="BD87" s="51">
        <v>0.23263888888888887</v>
      </c>
      <c r="BE87" s="51">
        <v>0.88680555555555562</v>
      </c>
      <c r="BF87" s="51">
        <v>0.25694444444444448</v>
      </c>
      <c r="BG87" s="51">
        <v>0.86249999999999993</v>
      </c>
      <c r="BH87" s="52" t="s">
        <v>444</v>
      </c>
      <c r="BI87" s="60">
        <v>93.435000000000002</v>
      </c>
      <c r="BL87" s="61">
        <v>22</v>
      </c>
      <c r="BM87" s="53" t="s">
        <v>549</v>
      </c>
      <c r="BN87" s="53" t="s">
        <v>550</v>
      </c>
      <c r="BO87" s="54">
        <v>0.61184027777777772</v>
      </c>
      <c r="BP87" s="53" t="s">
        <v>118</v>
      </c>
      <c r="BQ87" s="55">
        <v>0.17152777777777775</v>
      </c>
      <c r="BR87" s="56">
        <v>0.9458333333333333</v>
      </c>
      <c r="BS87" s="56">
        <v>0.20277777777777781</v>
      </c>
      <c r="BT87" s="56">
        <v>0.9145833333333333</v>
      </c>
      <c r="BU87" s="56">
        <v>0.23055555555555554</v>
      </c>
      <c r="BV87" s="56">
        <v>0.88680555555555562</v>
      </c>
      <c r="BW87" s="57" t="s">
        <v>551</v>
      </c>
      <c r="BX87" s="62">
        <v>94.114000000000004</v>
      </c>
      <c r="BZ87" s="59">
        <v>21</v>
      </c>
      <c r="CA87" s="48" t="s">
        <v>626</v>
      </c>
      <c r="CB87" s="48" t="s">
        <v>627</v>
      </c>
      <c r="CC87" s="49">
        <v>0.62914351851851846</v>
      </c>
      <c r="CD87" s="48" t="s">
        <v>631</v>
      </c>
      <c r="CE87" s="50">
        <v>0.15902777777777777</v>
      </c>
      <c r="CF87" s="51">
        <v>0.96458333333333324</v>
      </c>
      <c r="CG87" s="51">
        <v>0.19444444444444445</v>
      </c>
      <c r="CH87" s="51">
        <v>0.9291666666666667</v>
      </c>
      <c r="CI87" s="51">
        <v>0.22430555555555556</v>
      </c>
      <c r="CJ87" s="51">
        <v>0.89930555555555547</v>
      </c>
      <c r="CK87" s="52" t="s">
        <v>629</v>
      </c>
      <c r="CL87" s="60">
        <v>94.471000000000004</v>
      </c>
      <c r="CN87" s="61">
        <v>22</v>
      </c>
      <c r="CO87" s="53" t="s">
        <v>719</v>
      </c>
      <c r="CP87" s="53" t="s">
        <v>716</v>
      </c>
      <c r="CQ87" s="54">
        <v>0.60878472222222224</v>
      </c>
      <c r="CR87" s="53" t="s">
        <v>720</v>
      </c>
      <c r="CS87" s="55">
        <v>0.17986111111111111</v>
      </c>
      <c r="CT87" s="56">
        <v>0.94930555555555562</v>
      </c>
      <c r="CU87" s="56">
        <v>0.21111111111111111</v>
      </c>
      <c r="CV87" s="56">
        <v>0.91875000000000007</v>
      </c>
      <c r="CW87" s="56">
        <v>0.23819444444444446</v>
      </c>
      <c r="CX87" s="56">
        <v>0.89097222222222217</v>
      </c>
      <c r="CY87" s="57" t="s">
        <v>721</v>
      </c>
      <c r="CZ87" s="62">
        <v>94.435000000000002</v>
      </c>
      <c r="DB87" s="61">
        <v>22</v>
      </c>
      <c r="DC87" s="53" t="s">
        <v>843</v>
      </c>
      <c r="DD87" s="53" t="s">
        <v>844</v>
      </c>
      <c r="DE87" s="54">
        <v>0.56195601851851851</v>
      </c>
      <c r="DF87" s="53" t="s">
        <v>845</v>
      </c>
      <c r="DG87" s="55">
        <v>0.21111111111111111</v>
      </c>
      <c r="DH87" s="56">
        <v>0.91249999999999998</v>
      </c>
      <c r="DI87" s="56">
        <v>0.23680555555555557</v>
      </c>
      <c r="DJ87" s="56">
        <v>0.88680555555555562</v>
      </c>
      <c r="DK87" s="56">
        <v>0.26111111111111113</v>
      </c>
      <c r="DL87" s="56">
        <v>0.86319444444444438</v>
      </c>
      <c r="DM87" s="57" t="s">
        <v>846</v>
      </c>
      <c r="DN87" s="62">
        <v>94</v>
      </c>
      <c r="DP87" s="59">
        <v>21</v>
      </c>
      <c r="DQ87" s="48" t="s">
        <v>941</v>
      </c>
      <c r="DR87" s="48" t="s">
        <v>942</v>
      </c>
      <c r="DS87" s="49">
        <v>0.5074305555555555</v>
      </c>
      <c r="DT87" s="48" t="s">
        <v>924</v>
      </c>
      <c r="DU87" s="50">
        <v>0.23750000000000002</v>
      </c>
      <c r="DV87" s="51">
        <v>0.87291666666666667</v>
      </c>
      <c r="DW87" s="51">
        <v>0.26041666666666669</v>
      </c>
      <c r="DX87" s="51">
        <v>0.85</v>
      </c>
      <c r="DY87" s="51">
        <v>0.28263888888888888</v>
      </c>
      <c r="DZ87" s="51">
        <v>0.82777777777777783</v>
      </c>
      <c r="EA87" s="52" t="s">
        <v>943</v>
      </c>
      <c r="EB87" s="60">
        <v>93.302999999999997</v>
      </c>
      <c r="ED87" s="61">
        <v>22</v>
      </c>
      <c r="EE87" s="53" t="s">
        <v>1035</v>
      </c>
      <c r="EF87" s="53" t="s">
        <v>1036</v>
      </c>
      <c r="EG87" s="54">
        <v>0.450625</v>
      </c>
      <c r="EH87" s="53" t="s">
        <v>859</v>
      </c>
      <c r="EI87" s="55">
        <v>0.26041666666666669</v>
      </c>
      <c r="EJ87" s="56">
        <v>0.83819444444444446</v>
      </c>
      <c r="EK87" s="56">
        <v>0.28263888888888888</v>
      </c>
      <c r="EL87" s="56">
        <v>0.81597222222222221</v>
      </c>
      <c r="EM87" s="56">
        <v>0.30486111111111108</v>
      </c>
      <c r="EN87" s="56">
        <v>0.79375000000000007</v>
      </c>
      <c r="EO87" s="57" t="s">
        <v>1037</v>
      </c>
      <c r="EP87" s="62">
        <v>92.486000000000004</v>
      </c>
      <c r="ER87" s="61">
        <v>21</v>
      </c>
      <c r="ES87" s="53" t="s">
        <v>1132</v>
      </c>
      <c r="ET87" s="53" t="s">
        <v>1133</v>
      </c>
      <c r="EU87" s="54">
        <v>0.40458333333333335</v>
      </c>
      <c r="EV87" s="53" t="s">
        <v>1134</v>
      </c>
      <c r="EW87" s="55">
        <v>0.24027777777777778</v>
      </c>
      <c r="EX87" s="56">
        <v>0.77777777777777779</v>
      </c>
      <c r="EY87" s="56">
        <v>0.26250000000000001</v>
      </c>
      <c r="EZ87" s="56">
        <v>0.75555555555555554</v>
      </c>
      <c r="FA87" s="56">
        <v>0.28611111111111115</v>
      </c>
      <c r="FB87" s="56">
        <v>0.7319444444444444</v>
      </c>
      <c r="FC87" s="57" t="s">
        <v>1135</v>
      </c>
      <c r="FD87" s="62">
        <v>91.811999999999998</v>
      </c>
      <c r="FF87" s="61">
        <v>22</v>
      </c>
      <c r="FG87" s="53" t="s">
        <v>1224</v>
      </c>
      <c r="FH87" s="53" t="s">
        <v>1225</v>
      </c>
      <c r="FI87" s="54">
        <v>0.38541666666666669</v>
      </c>
      <c r="FJ87" s="53" t="s">
        <v>1226</v>
      </c>
      <c r="FK87" s="55">
        <v>0.25694444444444448</v>
      </c>
      <c r="FL87" s="56">
        <v>0.77916666666666667</v>
      </c>
      <c r="FM87" s="56">
        <v>0.27986111111111112</v>
      </c>
      <c r="FN87" s="56">
        <v>0.75624999999999998</v>
      </c>
      <c r="FO87" s="56">
        <v>0.30416666666666664</v>
      </c>
      <c r="FP87" s="56">
        <v>0.73263888888888884</v>
      </c>
      <c r="FQ87" s="57" t="s">
        <v>1223</v>
      </c>
      <c r="FR87" s="62">
        <v>91.435000000000002</v>
      </c>
    </row>
    <row r="88" spans="1:174" ht="20.25" thickBot="1" x14ac:dyDescent="0.3">
      <c r="A88">
        <v>9</v>
      </c>
      <c r="B88">
        <v>48</v>
      </c>
      <c r="C88" s="59">
        <v>23</v>
      </c>
      <c r="D88" s="48" t="s">
        <v>135</v>
      </c>
      <c r="E88" s="48" t="s">
        <v>136</v>
      </c>
      <c r="F88" s="70">
        <v>0.40848379629629633</v>
      </c>
      <c r="G88" s="48" t="s">
        <v>137</v>
      </c>
      <c r="H88" s="50">
        <v>0.25625000000000003</v>
      </c>
      <c r="I88" s="51">
        <v>0.79791666666666661</v>
      </c>
      <c r="J88" s="51">
        <v>0.27916666666666667</v>
      </c>
      <c r="K88" s="51">
        <v>0.77500000000000002</v>
      </c>
      <c r="L88" s="51">
        <v>0.30208333333333331</v>
      </c>
      <c r="M88" s="51">
        <v>0.75208333333333333</v>
      </c>
      <c r="N88" s="52" t="s">
        <v>138</v>
      </c>
      <c r="O88" s="60">
        <v>91.491</v>
      </c>
      <c r="Q88" s="59">
        <v>21</v>
      </c>
      <c r="R88" s="59"/>
      <c r="S88" s="48" t="s">
        <v>250</v>
      </c>
      <c r="T88" s="48" t="s">
        <v>251</v>
      </c>
      <c r="U88" s="49">
        <v>0.45495370370370369</v>
      </c>
      <c r="V88" s="48" t="s">
        <v>252</v>
      </c>
      <c r="W88" s="50">
        <v>0.23750000000000002</v>
      </c>
      <c r="X88" s="51">
        <v>0.81944444444444453</v>
      </c>
      <c r="Y88" s="51">
        <v>0.25972222222222224</v>
      </c>
      <c r="Z88" s="51">
        <v>0.79722222222222217</v>
      </c>
      <c r="AA88" s="51">
        <v>0.28194444444444444</v>
      </c>
      <c r="AB88" s="51">
        <v>0.77500000000000002</v>
      </c>
      <c r="AC88" s="52" t="s">
        <v>253</v>
      </c>
      <c r="AD88" s="91"/>
      <c r="AE88" s="91"/>
      <c r="AF88" s="91"/>
      <c r="AG88" s="91"/>
      <c r="AH88" s="60">
        <v>91.927999999999997</v>
      </c>
      <c r="AJ88" s="61">
        <v>23</v>
      </c>
      <c r="AK88" s="53" t="s">
        <v>354</v>
      </c>
      <c r="AL88" s="53" t="s">
        <v>355</v>
      </c>
      <c r="AM88" s="54">
        <v>0.51284722222222223</v>
      </c>
      <c r="AN88" s="53" t="s">
        <v>321</v>
      </c>
      <c r="AO88" s="55">
        <v>0.24444444444444446</v>
      </c>
      <c r="AP88" s="56">
        <v>0.88611111111111107</v>
      </c>
      <c r="AQ88" s="56">
        <v>0.2673611111111111</v>
      </c>
      <c r="AR88" s="56">
        <v>0.86319444444444438</v>
      </c>
      <c r="AS88" s="56">
        <v>0.28958333333333336</v>
      </c>
      <c r="AT88" s="56">
        <v>0.84027777777777779</v>
      </c>
      <c r="AU88" s="57" t="s">
        <v>356</v>
      </c>
      <c r="AV88" s="62">
        <v>92.67</v>
      </c>
      <c r="AW88" s="61">
        <v>22</v>
      </c>
      <c r="AX88" s="53" t="s">
        <v>445</v>
      </c>
      <c r="AY88" s="53" t="s">
        <v>446</v>
      </c>
      <c r="AZ88" s="54">
        <v>0.56769675925925933</v>
      </c>
      <c r="BA88" s="53" t="s">
        <v>225</v>
      </c>
      <c r="BB88" s="55">
        <v>0.20555555555555557</v>
      </c>
      <c r="BC88" s="56">
        <v>0.91388888888888886</v>
      </c>
      <c r="BD88" s="56">
        <v>0.23124999999999998</v>
      </c>
      <c r="BE88" s="56">
        <v>0.8881944444444444</v>
      </c>
      <c r="BF88" s="56">
        <v>0.25555555555555559</v>
      </c>
      <c r="BG88" s="56">
        <v>0.86388888888888893</v>
      </c>
      <c r="BH88" s="57" t="s">
        <v>447</v>
      </c>
      <c r="BI88" s="62">
        <v>93.46</v>
      </c>
      <c r="BL88" s="59">
        <v>23</v>
      </c>
      <c r="BM88" s="48" t="s">
        <v>552</v>
      </c>
      <c r="BN88" s="48" t="s">
        <v>550</v>
      </c>
      <c r="BO88" s="49">
        <v>0.61295138888888889</v>
      </c>
      <c r="BP88" s="48" t="s">
        <v>115</v>
      </c>
      <c r="BQ88" s="50">
        <v>0.17013888888888887</v>
      </c>
      <c r="BR88" s="51">
        <v>0.94652777777777775</v>
      </c>
      <c r="BS88" s="51">
        <v>0.20208333333333331</v>
      </c>
      <c r="BT88" s="51">
        <v>0.91527777777777775</v>
      </c>
      <c r="BU88" s="51">
        <v>0.2298611111111111</v>
      </c>
      <c r="BV88" s="51">
        <v>0.88680555555555562</v>
      </c>
      <c r="BW88" s="52" t="s">
        <v>553</v>
      </c>
      <c r="BX88" s="60">
        <v>94.132000000000005</v>
      </c>
      <c r="BZ88" s="61">
        <v>22</v>
      </c>
      <c r="CA88" s="53" t="s">
        <v>626</v>
      </c>
      <c r="CB88" s="53" t="s">
        <v>632</v>
      </c>
      <c r="CC88" s="54">
        <v>0.62907407407407401</v>
      </c>
      <c r="CD88" s="53" t="s">
        <v>633</v>
      </c>
      <c r="CE88" s="55">
        <v>0.15972222222222224</v>
      </c>
      <c r="CF88" s="56">
        <v>0.96458333333333324</v>
      </c>
      <c r="CG88" s="56">
        <v>0.19444444444444445</v>
      </c>
      <c r="CH88" s="56">
        <v>0.9291666666666667</v>
      </c>
      <c r="CI88" s="56">
        <v>0.22430555555555556</v>
      </c>
      <c r="CJ88" s="56">
        <v>0.9</v>
      </c>
      <c r="CK88" s="57" t="s">
        <v>629</v>
      </c>
      <c r="CL88" s="62">
        <v>94.475999999999999</v>
      </c>
      <c r="CN88" s="59">
        <v>23</v>
      </c>
      <c r="CO88" s="48" t="s">
        <v>722</v>
      </c>
      <c r="CP88" s="48" t="s">
        <v>723</v>
      </c>
      <c r="CQ88" s="49">
        <v>0.60758101851851853</v>
      </c>
      <c r="CR88" s="48" t="s">
        <v>724</v>
      </c>
      <c r="CS88" s="50">
        <v>0.18055555555555555</v>
      </c>
      <c r="CT88" s="51">
        <v>0.94861111111111107</v>
      </c>
      <c r="CU88" s="51">
        <v>0.21180555555555555</v>
      </c>
      <c r="CV88" s="51">
        <v>0.91805555555555562</v>
      </c>
      <c r="CW88" s="51">
        <v>0.2388888888888889</v>
      </c>
      <c r="CX88" s="51">
        <v>0.89027777777777783</v>
      </c>
      <c r="CY88" s="52" t="s">
        <v>725</v>
      </c>
      <c r="CZ88" s="60">
        <v>94.427000000000007</v>
      </c>
      <c r="DB88" s="59">
        <v>23</v>
      </c>
      <c r="DC88" s="48" t="s">
        <v>847</v>
      </c>
      <c r="DD88" s="48" t="s">
        <v>848</v>
      </c>
      <c r="DE88" s="49">
        <v>0.56021990740740735</v>
      </c>
      <c r="DF88" s="48" t="s">
        <v>849</v>
      </c>
      <c r="DG88" s="50">
        <v>0.21249999999999999</v>
      </c>
      <c r="DH88" s="51">
        <v>0.91111111111111109</v>
      </c>
      <c r="DI88" s="51">
        <v>0.23750000000000002</v>
      </c>
      <c r="DJ88" s="51">
        <v>0.88611111111111107</v>
      </c>
      <c r="DK88" s="51">
        <v>0.26180555555555557</v>
      </c>
      <c r="DL88" s="51">
        <v>0.8618055555555556</v>
      </c>
      <c r="DM88" s="52" t="s">
        <v>850</v>
      </c>
      <c r="DN88" s="60">
        <v>93.980999999999995</v>
      </c>
      <c r="DP88" s="61">
        <v>22</v>
      </c>
      <c r="DQ88" s="53" t="s">
        <v>944</v>
      </c>
      <c r="DR88" s="53" t="s">
        <v>945</v>
      </c>
      <c r="DS88" s="54">
        <v>0.50556712962962969</v>
      </c>
      <c r="DT88" s="53" t="s">
        <v>924</v>
      </c>
      <c r="DU88" s="55">
        <v>0.23819444444444446</v>
      </c>
      <c r="DV88" s="56">
        <v>0.87152777777777779</v>
      </c>
      <c r="DW88" s="56">
        <v>0.26111111111111113</v>
      </c>
      <c r="DX88" s="56">
        <v>0.84861111111111109</v>
      </c>
      <c r="DY88" s="56">
        <v>0.28333333333333333</v>
      </c>
      <c r="DZ88" s="56">
        <v>0.82638888888888884</v>
      </c>
      <c r="EA88" s="57" t="s">
        <v>946</v>
      </c>
      <c r="EB88" s="62">
        <v>93.278000000000006</v>
      </c>
      <c r="ED88" s="59">
        <v>23</v>
      </c>
      <c r="EE88" s="48" t="s">
        <v>1038</v>
      </c>
      <c r="EF88" s="48" t="s">
        <v>1039</v>
      </c>
      <c r="EG88" s="49">
        <v>0.4488773148148148</v>
      </c>
      <c r="EH88" s="48" t="s">
        <v>856</v>
      </c>
      <c r="EI88" s="50">
        <v>0.26111111111111113</v>
      </c>
      <c r="EJ88" s="51">
        <v>0.83750000000000002</v>
      </c>
      <c r="EK88" s="51">
        <v>0.28333333333333333</v>
      </c>
      <c r="EL88" s="51">
        <v>0.81527777777777777</v>
      </c>
      <c r="EM88" s="51">
        <v>0.30555555555555552</v>
      </c>
      <c r="EN88" s="51">
        <v>0.79305555555555562</v>
      </c>
      <c r="EO88" s="52" t="s">
        <v>1040</v>
      </c>
      <c r="EP88" s="60">
        <v>92.460999999999999</v>
      </c>
      <c r="ER88" s="59">
        <v>22</v>
      </c>
      <c r="ES88" s="48" t="s">
        <v>1136</v>
      </c>
      <c r="ET88" s="48" t="s">
        <v>1137</v>
      </c>
      <c r="EU88" s="49">
        <v>0.40339120370370374</v>
      </c>
      <c r="EV88" s="48" t="s">
        <v>1138</v>
      </c>
      <c r="EW88" s="50">
        <v>0.24097222222222223</v>
      </c>
      <c r="EX88" s="51">
        <v>0.77777777777777779</v>
      </c>
      <c r="EY88" s="51">
        <v>0.26319444444444445</v>
      </c>
      <c r="EZ88" s="51">
        <v>0.75486111111111109</v>
      </c>
      <c r="FA88" s="51">
        <v>0.28680555555555554</v>
      </c>
      <c r="FB88" s="51">
        <v>0.7319444444444444</v>
      </c>
      <c r="FC88" s="52" t="s">
        <v>1139</v>
      </c>
      <c r="FD88" s="60">
        <v>91.795000000000002</v>
      </c>
      <c r="FF88" s="59">
        <v>23</v>
      </c>
      <c r="FG88" s="48" t="s">
        <v>1224</v>
      </c>
      <c r="FH88" s="48" t="s">
        <v>1225</v>
      </c>
      <c r="FI88" s="49">
        <v>0.38550925925925927</v>
      </c>
      <c r="FJ88" s="48" t="s">
        <v>1227</v>
      </c>
      <c r="FK88" s="50">
        <v>0.25694444444444448</v>
      </c>
      <c r="FL88" s="51">
        <v>0.77986111111111101</v>
      </c>
      <c r="FM88" s="51">
        <v>0.27986111111111112</v>
      </c>
      <c r="FN88" s="51">
        <v>0.75694444444444453</v>
      </c>
      <c r="FO88" s="51">
        <v>0.30416666666666664</v>
      </c>
      <c r="FP88" s="51">
        <v>0.73263888888888884</v>
      </c>
      <c r="FQ88" s="52" t="s">
        <v>1228</v>
      </c>
      <c r="FR88" s="60">
        <v>91.430999999999997</v>
      </c>
    </row>
    <row r="89" spans="1:174" ht="20.25" thickBot="1" x14ac:dyDescent="0.3">
      <c r="A89">
        <v>9</v>
      </c>
      <c r="B89">
        <v>50</v>
      </c>
      <c r="C89" s="61">
        <v>24</v>
      </c>
      <c r="D89" s="53" t="s">
        <v>139</v>
      </c>
      <c r="E89" s="53" t="s">
        <v>140</v>
      </c>
      <c r="F89" s="71">
        <v>0.4098148148148148</v>
      </c>
      <c r="G89" s="53" t="s">
        <v>141</v>
      </c>
      <c r="H89" s="55">
        <v>0.25625000000000003</v>
      </c>
      <c r="I89" s="56">
        <v>0.79861111111111116</v>
      </c>
      <c r="J89" s="56">
        <v>0.27847222222222223</v>
      </c>
      <c r="K89" s="56">
        <v>0.77569444444444446</v>
      </c>
      <c r="L89" s="56">
        <v>0.30208333333333331</v>
      </c>
      <c r="M89" s="56">
        <v>0.75277777777777777</v>
      </c>
      <c r="N89" s="57" t="s">
        <v>142</v>
      </c>
      <c r="O89" s="62">
        <v>91.501000000000005</v>
      </c>
      <c r="Q89" s="61">
        <v>22</v>
      </c>
      <c r="R89" s="98"/>
      <c r="S89" s="53" t="s">
        <v>254</v>
      </c>
      <c r="T89" s="53" t="s">
        <v>255</v>
      </c>
      <c r="U89" s="54">
        <v>0.45674768518518521</v>
      </c>
      <c r="V89" s="53" t="s">
        <v>252</v>
      </c>
      <c r="W89" s="55">
        <v>0.23680555555555557</v>
      </c>
      <c r="X89" s="56">
        <v>0.82013888888888886</v>
      </c>
      <c r="Y89" s="56">
        <v>0.25833333333333336</v>
      </c>
      <c r="Z89" s="56">
        <v>0.79791666666666661</v>
      </c>
      <c r="AA89" s="56">
        <v>0.28055555555555556</v>
      </c>
      <c r="AB89" s="56">
        <v>0.77569444444444446</v>
      </c>
      <c r="AC89" s="57" t="s">
        <v>256</v>
      </c>
      <c r="AD89" s="92"/>
      <c r="AE89" s="92"/>
      <c r="AF89" s="92"/>
      <c r="AG89" s="92"/>
      <c r="AH89" s="62">
        <v>91.947999999999993</v>
      </c>
      <c r="AJ89" s="59">
        <v>24</v>
      </c>
      <c r="AK89" s="48" t="s">
        <v>357</v>
      </c>
      <c r="AL89" s="48" t="s">
        <v>358</v>
      </c>
      <c r="AM89" s="49">
        <v>0.51473379629629623</v>
      </c>
      <c r="AN89" s="48" t="s">
        <v>305</v>
      </c>
      <c r="AO89" s="50">
        <v>0.24305555555555555</v>
      </c>
      <c r="AP89" s="51">
        <v>0.88680555555555562</v>
      </c>
      <c r="AQ89" s="51">
        <v>0.26597222222222222</v>
      </c>
      <c r="AR89" s="51">
        <v>0.86388888888888893</v>
      </c>
      <c r="AS89" s="51">
        <v>0.28819444444444448</v>
      </c>
      <c r="AT89" s="51">
        <v>0.84166666666666667</v>
      </c>
      <c r="AU89" s="52" t="s">
        <v>359</v>
      </c>
      <c r="AV89" s="60">
        <v>92.695999999999998</v>
      </c>
      <c r="AW89" s="59">
        <v>23</v>
      </c>
      <c r="AX89" s="48" t="s">
        <v>448</v>
      </c>
      <c r="AY89" s="48" t="s">
        <v>449</v>
      </c>
      <c r="AZ89" s="49">
        <v>0.56940972222222219</v>
      </c>
      <c r="BA89" s="48" t="s">
        <v>221</v>
      </c>
      <c r="BB89" s="50">
        <v>0.20416666666666669</v>
      </c>
      <c r="BC89" s="51">
        <v>0.91527777777777775</v>
      </c>
      <c r="BD89" s="51">
        <v>0.2298611111111111</v>
      </c>
      <c r="BE89" s="51">
        <v>0.88888888888888884</v>
      </c>
      <c r="BF89" s="51">
        <v>0.25486111111111109</v>
      </c>
      <c r="BG89" s="51">
        <v>0.86458333333333337</v>
      </c>
      <c r="BH89" s="52" t="s">
        <v>450</v>
      </c>
      <c r="BI89" s="60">
        <v>93.484999999999999</v>
      </c>
      <c r="BL89" s="61">
        <v>24</v>
      </c>
      <c r="BM89" s="53" t="s">
        <v>554</v>
      </c>
      <c r="BN89" s="53" t="s">
        <v>555</v>
      </c>
      <c r="BO89" s="54">
        <v>0.61402777777777773</v>
      </c>
      <c r="BP89" s="53" t="s">
        <v>556</v>
      </c>
      <c r="BQ89" s="55">
        <v>0.16944444444444443</v>
      </c>
      <c r="BR89" s="56">
        <v>0.94791666666666663</v>
      </c>
      <c r="BS89" s="56">
        <v>0.20138888888888887</v>
      </c>
      <c r="BT89" s="56">
        <v>0.9159722222222223</v>
      </c>
      <c r="BU89" s="56">
        <v>0.22916666666666666</v>
      </c>
      <c r="BV89" s="56">
        <v>0.88750000000000007</v>
      </c>
      <c r="BW89" s="57" t="s">
        <v>557</v>
      </c>
      <c r="BX89" s="62">
        <v>94.149000000000001</v>
      </c>
      <c r="BZ89" s="59">
        <v>23</v>
      </c>
      <c r="CA89" s="48" t="s">
        <v>634</v>
      </c>
      <c r="CB89" s="48" t="s">
        <v>632</v>
      </c>
      <c r="CC89" s="49">
        <v>0.62898148148148147</v>
      </c>
      <c r="CD89" s="48" t="s">
        <v>635</v>
      </c>
      <c r="CE89" s="50">
        <v>0.15972222222222224</v>
      </c>
      <c r="CF89" s="51">
        <v>0.96458333333333324</v>
      </c>
      <c r="CG89" s="51">
        <v>0.19444444444444445</v>
      </c>
      <c r="CH89" s="51">
        <v>0.9291666666666667</v>
      </c>
      <c r="CI89" s="51">
        <v>0.22430555555555556</v>
      </c>
      <c r="CJ89" s="51">
        <v>0.9</v>
      </c>
      <c r="CK89" s="52" t="s">
        <v>636</v>
      </c>
      <c r="CL89" s="60">
        <v>94.481999999999999</v>
      </c>
      <c r="CN89" s="61">
        <v>24</v>
      </c>
      <c r="CO89" s="53" t="s">
        <v>726</v>
      </c>
      <c r="CP89" s="53" t="s">
        <v>727</v>
      </c>
      <c r="CQ89" s="54">
        <v>0.6063425925925926</v>
      </c>
      <c r="CR89" s="53" t="s">
        <v>728</v>
      </c>
      <c r="CS89" s="55">
        <v>0.18194444444444444</v>
      </c>
      <c r="CT89" s="56">
        <v>0.9472222222222223</v>
      </c>
      <c r="CU89" s="56">
        <v>0.21249999999999999</v>
      </c>
      <c r="CV89" s="56">
        <v>0.91666666666666663</v>
      </c>
      <c r="CW89" s="56">
        <v>0.23958333333333334</v>
      </c>
      <c r="CX89" s="56">
        <v>0.88958333333333339</v>
      </c>
      <c r="CY89" s="57" t="s">
        <v>729</v>
      </c>
      <c r="CZ89" s="62">
        <v>94.418999999999997</v>
      </c>
      <c r="DB89" s="61">
        <v>24</v>
      </c>
      <c r="DC89" s="53" t="s">
        <v>851</v>
      </c>
      <c r="DD89" s="53" t="s">
        <v>852</v>
      </c>
      <c r="DE89" s="54">
        <v>0.5584837962962963</v>
      </c>
      <c r="DF89" s="53" t="s">
        <v>849</v>
      </c>
      <c r="DG89" s="55">
        <v>0.21319444444444444</v>
      </c>
      <c r="DH89" s="56">
        <v>0.90972222222222221</v>
      </c>
      <c r="DI89" s="56">
        <v>0.2388888888888889</v>
      </c>
      <c r="DJ89" s="56">
        <v>0.8847222222222223</v>
      </c>
      <c r="DK89" s="56">
        <v>0.26250000000000001</v>
      </c>
      <c r="DL89" s="56">
        <v>0.86111111111111116</v>
      </c>
      <c r="DM89" s="57" t="s">
        <v>853</v>
      </c>
      <c r="DN89" s="62">
        <v>93.962000000000003</v>
      </c>
      <c r="DP89" s="59">
        <v>23</v>
      </c>
      <c r="DQ89" s="48" t="s">
        <v>947</v>
      </c>
      <c r="DR89" s="48" t="s">
        <v>948</v>
      </c>
      <c r="DS89" s="49">
        <v>0.50370370370370365</v>
      </c>
      <c r="DT89" s="48" t="s">
        <v>924</v>
      </c>
      <c r="DU89" s="50">
        <v>0.2388888888888889</v>
      </c>
      <c r="DV89" s="51">
        <v>0.87013888888888891</v>
      </c>
      <c r="DW89" s="51">
        <v>0.26180555555555557</v>
      </c>
      <c r="DX89" s="51">
        <v>0.84791666666666676</v>
      </c>
      <c r="DY89" s="51">
        <v>0.28402777777777777</v>
      </c>
      <c r="DZ89" s="51">
        <v>0.8256944444444444</v>
      </c>
      <c r="EA89" s="52" t="s">
        <v>949</v>
      </c>
      <c r="EB89" s="60">
        <v>93.251999999999995</v>
      </c>
      <c r="ED89" s="61">
        <v>24</v>
      </c>
      <c r="EE89" s="53" t="s">
        <v>1041</v>
      </c>
      <c r="EF89" s="53" t="s">
        <v>1042</v>
      </c>
      <c r="EG89" s="54">
        <v>0.44712962962962965</v>
      </c>
      <c r="EH89" s="53" t="s">
        <v>849</v>
      </c>
      <c r="EI89" s="55">
        <v>0.26180555555555557</v>
      </c>
      <c r="EJ89" s="56">
        <v>0.83680555555555547</v>
      </c>
      <c r="EK89" s="56">
        <v>0.28402777777777777</v>
      </c>
      <c r="EL89" s="56">
        <v>0.81458333333333333</v>
      </c>
      <c r="EM89" s="56">
        <v>0.30624999999999997</v>
      </c>
      <c r="EN89" s="56">
        <v>0.79236111111111107</v>
      </c>
      <c r="EO89" s="57" t="s">
        <v>1043</v>
      </c>
      <c r="EP89" s="62">
        <v>92.436000000000007</v>
      </c>
      <c r="ER89" s="61">
        <v>23</v>
      </c>
      <c r="ES89" s="53" t="s">
        <v>1140</v>
      </c>
      <c r="ET89" s="53" t="s">
        <v>1141</v>
      </c>
      <c r="EU89" s="54">
        <v>0.40222222222222226</v>
      </c>
      <c r="EV89" s="53" t="s">
        <v>1142</v>
      </c>
      <c r="EW89" s="55">
        <v>0.24166666666666667</v>
      </c>
      <c r="EX89" s="56">
        <v>0.77708333333333324</v>
      </c>
      <c r="EY89" s="56">
        <v>0.2638888888888889</v>
      </c>
      <c r="EZ89" s="56">
        <v>0.75486111111111109</v>
      </c>
      <c r="FA89" s="56">
        <v>0.28750000000000003</v>
      </c>
      <c r="FB89" s="56">
        <v>0.73125000000000007</v>
      </c>
      <c r="FC89" s="57" t="s">
        <v>1143</v>
      </c>
      <c r="FD89" s="62">
        <v>91.777000000000001</v>
      </c>
      <c r="FF89" s="61">
        <v>24</v>
      </c>
      <c r="FG89" s="53" t="s">
        <v>1224</v>
      </c>
      <c r="FH89" s="53" t="s">
        <v>1229</v>
      </c>
      <c r="FI89" s="54">
        <v>0.38564814814814818</v>
      </c>
      <c r="FJ89" s="53" t="s">
        <v>1230</v>
      </c>
      <c r="FK89" s="55">
        <v>0.25694444444444448</v>
      </c>
      <c r="FL89" s="56">
        <v>0.78055555555555556</v>
      </c>
      <c r="FM89" s="56">
        <v>0.28055555555555556</v>
      </c>
      <c r="FN89" s="56">
        <v>0.75694444444444453</v>
      </c>
      <c r="FO89" s="56">
        <v>0.30416666666666664</v>
      </c>
      <c r="FP89" s="56">
        <v>0.73333333333333339</v>
      </c>
      <c r="FQ89" s="57" t="s">
        <v>1231</v>
      </c>
      <c r="FR89" s="62">
        <v>91.427000000000007</v>
      </c>
    </row>
    <row r="90" spans="1:174" ht="20.25" thickBot="1" x14ac:dyDescent="0.3">
      <c r="A90">
        <v>9</v>
      </c>
      <c r="B90">
        <v>52</v>
      </c>
      <c r="C90" s="59">
        <v>25</v>
      </c>
      <c r="D90" s="48" t="s">
        <v>143</v>
      </c>
      <c r="E90" s="48" t="s">
        <v>144</v>
      </c>
      <c r="F90" s="70">
        <v>0.41115740740740742</v>
      </c>
      <c r="G90" s="48" t="s">
        <v>145</v>
      </c>
      <c r="H90" s="50">
        <v>0.25555555555555559</v>
      </c>
      <c r="I90" s="51">
        <v>0.7993055555555556</v>
      </c>
      <c r="J90" s="51">
        <v>0.27847222222222223</v>
      </c>
      <c r="K90" s="51">
        <v>0.77638888888888891</v>
      </c>
      <c r="L90" s="51">
        <v>0.30138888888888887</v>
      </c>
      <c r="M90" s="51">
        <v>0.75347222222222221</v>
      </c>
      <c r="N90" s="52" t="s">
        <v>146</v>
      </c>
      <c r="O90" s="60">
        <v>91.51</v>
      </c>
      <c r="Q90" s="59">
        <v>23</v>
      </c>
      <c r="R90" s="59"/>
      <c r="S90" s="48" t="s">
        <v>257</v>
      </c>
      <c r="T90" s="48" t="s">
        <v>258</v>
      </c>
      <c r="U90" s="49">
        <v>0.45856481481481487</v>
      </c>
      <c r="V90" s="48" t="s">
        <v>259</v>
      </c>
      <c r="W90" s="50">
        <v>0.23541666666666669</v>
      </c>
      <c r="X90" s="51">
        <v>0.8208333333333333</v>
      </c>
      <c r="Y90" s="51">
        <v>0.25763888888888892</v>
      </c>
      <c r="Z90" s="51">
        <v>0.79861111111111116</v>
      </c>
      <c r="AA90" s="51">
        <v>0.27986111111111112</v>
      </c>
      <c r="AB90" s="51">
        <v>0.77708333333333324</v>
      </c>
      <c r="AC90" s="52" t="s">
        <v>260</v>
      </c>
      <c r="AD90" s="91"/>
      <c r="AE90" s="91"/>
      <c r="AF90" s="91"/>
      <c r="AG90" s="91"/>
      <c r="AH90" s="60">
        <v>91.968999999999994</v>
      </c>
      <c r="AJ90" s="61">
        <v>25</v>
      </c>
      <c r="AK90" s="53" t="s">
        <v>360</v>
      </c>
      <c r="AL90" s="53" t="s">
        <v>361</v>
      </c>
      <c r="AM90" s="54">
        <v>0.51662037037037034</v>
      </c>
      <c r="AN90" s="53" t="s">
        <v>305</v>
      </c>
      <c r="AO90" s="55">
        <v>0.24236111111111111</v>
      </c>
      <c r="AP90" s="56">
        <v>0.88750000000000007</v>
      </c>
      <c r="AQ90" s="56">
        <v>0.26527777777777778</v>
      </c>
      <c r="AR90" s="56">
        <v>0.86458333333333337</v>
      </c>
      <c r="AS90" s="56">
        <v>0.28750000000000003</v>
      </c>
      <c r="AT90" s="56">
        <v>0.84236111111111101</v>
      </c>
      <c r="AU90" s="57" t="s">
        <v>362</v>
      </c>
      <c r="AV90" s="62">
        <v>92.722999999999999</v>
      </c>
      <c r="AW90" s="61">
        <v>24</v>
      </c>
      <c r="AX90" s="53" t="s">
        <v>451</v>
      </c>
      <c r="AY90" s="53" t="s">
        <v>452</v>
      </c>
      <c r="AZ90" s="54">
        <v>0.57112268518518516</v>
      </c>
      <c r="BA90" s="53" t="s">
        <v>453</v>
      </c>
      <c r="BB90" s="55">
        <v>0.20277777777777781</v>
      </c>
      <c r="BC90" s="56">
        <v>0.9159722222222223</v>
      </c>
      <c r="BD90" s="56">
        <v>0.22916666666666666</v>
      </c>
      <c r="BE90" s="56">
        <v>0.88958333333333339</v>
      </c>
      <c r="BF90" s="56">
        <v>0.25347222222222221</v>
      </c>
      <c r="BG90" s="56">
        <v>0.8652777777777777</v>
      </c>
      <c r="BH90" s="57" t="s">
        <v>454</v>
      </c>
      <c r="BI90" s="62">
        <v>93.51</v>
      </c>
      <c r="BL90" s="59">
        <v>25</v>
      </c>
      <c r="BM90" s="48" t="s">
        <v>558</v>
      </c>
      <c r="BN90" s="48" t="s">
        <v>559</v>
      </c>
      <c r="BO90" s="49">
        <v>0.61506944444444445</v>
      </c>
      <c r="BP90" s="48" t="s">
        <v>560</v>
      </c>
      <c r="BQ90" s="50">
        <v>0.16874999999999998</v>
      </c>
      <c r="BR90" s="51">
        <v>0.94861111111111107</v>
      </c>
      <c r="BS90" s="51">
        <v>0.20069444444444443</v>
      </c>
      <c r="BT90" s="51">
        <v>0.91666666666666663</v>
      </c>
      <c r="BU90" s="51">
        <v>0.22847222222222222</v>
      </c>
      <c r="BV90" s="51">
        <v>0.8881944444444444</v>
      </c>
      <c r="BW90" s="52" t="s">
        <v>561</v>
      </c>
      <c r="BX90" s="60">
        <v>94.165999999999997</v>
      </c>
      <c r="BZ90" s="61">
        <v>24</v>
      </c>
      <c r="CA90" s="53" t="s">
        <v>634</v>
      </c>
      <c r="CB90" s="53" t="s">
        <v>632</v>
      </c>
      <c r="CC90" s="54">
        <v>0.62883101851851853</v>
      </c>
      <c r="CD90" s="53" t="s">
        <v>637</v>
      </c>
      <c r="CE90" s="55">
        <v>0.15972222222222224</v>
      </c>
      <c r="CF90" s="56">
        <v>0.96458333333333324</v>
      </c>
      <c r="CG90" s="56">
        <v>0.19513888888888889</v>
      </c>
      <c r="CH90" s="56">
        <v>0.9291666666666667</v>
      </c>
      <c r="CI90" s="56">
        <v>0.22430555555555556</v>
      </c>
      <c r="CJ90" s="56">
        <v>0.9</v>
      </c>
      <c r="CK90" s="57" t="s">
        <v>638</v>
      </c>
      <c r="CL90" s="62">
        <v>94.486999999999995</v>
      </c>
      <c r="CN90" s="59">
        <v>25</v>
      </c>
      <c r="CO90" s="48" t="s">
        <v>730</v>
      </c>
      <c r="CP90" s="48" t="s">
        <v>731</v>
      </c>
      <c r="CQ90" s="49">
        <v>0.60508101851851859</v>
      </c>
      <c r="CR90" s="48" t="s">
        <v>732</v>
      </c>
      <c r="CS90" s="50">
        <v>0.18263888888888891</v>
      </c>
      <c r="CT90" s="51">
        <v>0.94652777777777775</v>
      </c>
      <c r="CU90" s="51">
        <v>0.21319444444444444</v>
      </c>
      <c r="CV90" s="51">
        <v>0.9159722222222223</v>
      </c>
      <c r="CW90" s="51">
        <v>0.24027777777777778</v>
      </c>
      <c r="CX90" s="51">
        <v>0.88888888888888884</v>
      </c>
      <c r="CY90" s="52" t="s">
        <v>733</v>
      </c>
      <c r="CZ90" s="60">
        <v>94.411000000000001</v>
      </c>
      <c r="DB90" s="59">
        <v>25</v>
      </c>
      <c r="DC90" s="48" t="s">
        <v>854</v>
      </c>
      <c r="DD90" s="48" t="s">
        <v>855</v>
      </c>
      <c r="DE90" s="49">
        <v>0.55672453703703706</v>
      </c>
      <c r="DF90" s="48" t="s">
        <v>856</v>
      </c>
      <c r="DG90" s="50">
        <v>0.21458333333333335</v>
      </c>
      <c r="DH90" s="51">
        <v>0.90833333333333333</v>
      </c>
      <c r="DI90" s="51">
        <v>0.23958333333333334</v>
      </c>
      <c r="DJ90" s="51">
        <v>0.8833333333333333</v>
      </c>
      <c r="DK90" s="51">
        <v>0.26319444444444445</v>
      </c>
      <c r="DL90" s="51">
        <v>0.85972222222222217</v>
      </c>
      <c r="DM90" s="52" t="s">
        <v>857</v>
      </c>
      <c r="DN90" s="60">
        <v>93.941999999999993</v>
      </c>
      <c r="DP90" s="61">
        <v>24</v>
      </c>
      <c r="DQ90" s="53" t="s">
        <v>950</v>
      </c>
      <c r="DR90" s="53" t="s">
        <v>951</v>
      </c>
      <c r="DS90" s="54">
        <v>0.50184027777777784</v>
      </c>
      <c r="DT90" s="53" t="s">
        <v>924</v>
      </c>
      <c r="DU90" s="55">
        <v>0.23958333333333334</v>
      </c>
      <c r="DV90" s="56">
        <v>0.86875000000000002</v>
      </c>
      <c r="DW90" s="56">
        <v>0.26250000000000001</v>
      </c>
      <c r="DX90" s="56">
        <v>0.84652777777777777</v>
      </c>
      <c r="DY90" s="56">
        <v>0.28472222222222221</v>
      </c>
      <c r="DZ90" s="56">
        <v>0.82430555555555562</v>
      </c>
      <c r="EA90" s="57" t="s">
        <v>952</v>
      </c>
      <c r="EB90" s="62">
        <v>93.227000000000004</v>
      </c>
      <c r="ED90" s="59">
        <v>25</v>
      </c>
      <c r="EE90" s="48" t="s">
        <v>1044</v>
      </c>
      <c r="EF90" s="48" t="s">
        <v>1045</v>
      </c>
      <c r="EG90" s="49">
        <v>0.44539351851851849</v>
      </c>
      <c r="EH90" s="48" t="s">
        <v>845</v>
      </c>
      <c r="EI90" s="50">
        <v>0.26250000000000001</v>
      </c>
      <c r="EJ90" s="51">
        <v>0.8354166666666667</v>
      </c>
      <c r="EK90" s="51">
        <v>0.28472222222222221</v>
      </c>
      <c r="EL90" s="51">
        <v>0.81388888888888899</v>
      </c>
      <c r="EM90" s="51">
        <v>0.30694444444444441</v>
      </c>
      <c r="EN90" s="51">
        <v>0.79166666666666663</v>
      </c>
      <c r="EO90" s="52" t="s">
        <v>1046</v>
      </c>
      <c r="EP90" s="60">
        <v>92.411000000000001</v>
      </c>
      <c r="ER90" s="59">
        <v>24</v>
      </c>
      <c r="ES90" s="48" t="s">
        <v>1144</v>
      </c>
      <c r="ET90" s="48" t="s">
        <v>1141</v>
      </c>
      <c r="EU90" s="49">
        <v>0.40109953703703699</v>
      </c>
      <c r="EV90" s="48" t="s">
        <v>1145</v>
      </c>
      <c r="EW90" s="50">
        <v>0.24236111111111111</v>
      </c>
      <c r="EX90" s="51">
        <v>0.77708333333333324</v>
      </c>
      <c r="EY90" s="51">
        <v>0.26458333333333334</v>
      </c>
      <c r="EZ90" s="51">
        <v>0.75416666666666676</v>
      </c>
      <c r="FA90" s="51">
        <v>0.28819444444444448</v>
      </c>
      <c r="FB90" s="51">
        <v>0.73125000000000007</v>
      </c>
      <c r="FC90" s="52" t="s">
        <v>1146</v>
      </c>
      <c r="FD90" s="60">
        <v>91.76</v>
      </c>
      <c r="FF90" s="59">
        <v>25</v>
      </c>
      <c r="FG90" s="48" t="s">
        <v>1232</v>
      </c>
      <c r="FH90" s="48" t="s">
        <v>1229</v>
      </c>
      <c r="FI90" s="49">
        <v>0.38582175925925927</v>
      </c>
      <c r="FJ90" s="48" t="s">
        <v>1233</v>
      </c>
      <c r="FK90" s="50">
        <v>0.25763888888888892</v>
      </c>
      <c r="FL90" s="51">
        <v>0.78055555555555556</v>
      </c>
      <c r="FM90" s="51">
        <v>0.28055555555555556</v>
      </c>
      <c r="FN90" s="51">
        <v>0.75763888888888886</v>
      </c>
      <c r="FO90" s="51">
        <v>0.30486111111111108</v>
      </c>
      <c r="FP90" s="51">
        <v>0.73333333333333339</v>
      </c>
      <c r="FQ90" s="52" t="s">
        <v>1231</v>
      </c>
      <c r="FR90" s="60">
        <v>91.423000000000002</v>
      </c>
    </row>
    <row r="91" spans="1:174" ht="20.25" thickBot="1" x14ac:dyDescent="0.3">
      <c r="A91">
        <v>9</v>
      </c>
      <c r="B91">
        <v>54</v>
      </c>
      <c r="C91" s="61">
        <v>26</v>
      </c>
      <c r="D91" s="53" t="s">
        <v>147</v>
      </c>
      <c r="E91" s="53" t="s">
        <v>148</v>
      </c>
      <c r="F91" s="71">
        <v>0.41253472222222221</v>
      </c>
      <c r="G91" s="53" t="s">
        <v>149</v>
      </c>
      <c r="H91" s="55">
        <v>0.25555555555555559</v>
      </c>
      <c r="I91" s="56">
        <v>0.79999999999999993</v>
      </c>
      <c r="J91" s="56">
        <v>0.27777777777777779</v>
      </c>
      <c r="K91" s="56">
        <v>0.77708333333333324</v>
      </c>
      <c r="L91" s="56">
        <v>0.30069444444444443</v>
      </c>
      <c r="M91" s="56">
        <v>0.75416666666666676</v>
      </c>
      <c r="N91" s="57" t="s">
        <v>150</v>
      </c>
      <c r="O91" s="62">
        <v>91.521000000000001</v>
      </c>
      <c r="Q91" s="61">
        <v>24</v>
      </c>
      <c r="R91" s="98"/>
      <c r="S91" s="53" t="s">
        <v>261</v>
      </c>
      <c r="T91" s="53" t="s">
        <v>262</v>
      </c>
      <c r="U91" s="54">
        <v>0.46038194444444441</v>
      </c>
      <c r="V91" s="53" t="s">
        <v>263</v>
      </c>
      <c r="W91" s="55">
        <v>0.23472222222222219</v>
      </c>
      <c r="X91" s="56">
        <v>0.82152777777777775</v>
      </c>
      <c r="Y91" s="56">
        <v>0.25694444444444448</v>
      </c>
      <c r="Z91" s="56">
        <v>0.79999999999999993</v>
      </c>
      <c r="AA91" s="56">
        <v>0.27847222222222223</v>
      </c>
      <c r="AB91" s="56">
        <v>0.77777777777777779</v>
      </c>
      <c r="AC91" s="57" t="s">
        <v>264</v>
      </c>
      <c r="AD91" s="92"/>
      <c r="AE91" s="92"/>
      <c r="AF91" s="92"/>
      <c r="AG91" s="92"/>
      <c r="AH91" s="62">
        <v>91.99</v>
      </c>
      <c r="AJ91" s="59">
        <v>26</v>
      </c>
      <c r="AK91" s="48" t="s">
        <v>363</v>
      </c>
      <c r="AL91" s="48" t="s">
        <v>364</v>
      </c>
      <c r="AM91" s="49">
        <v>0.51849537037037041</v>
      </c>
      <c r="AN91" s="48" t="s">
        <v>305</v>
      </c>
      <c r="AO91" s="50">
        <v>0.24097222222222223</v>
      </c>
      <c r="AP91" s="51">
        <v>0.8881944444444444</v>
      </c>
      <c r="AQ91" s="51">
        <v>0.2638888888888889</v>
      </c>
      <c r="AR91" s="51">
        <v>0.8652777777777777</v>
      </c>
      <c r="AS91" s="51">
        <v>0.28611111111111115</v>
      </c>
      <c r="AT91" s="51">
        <v>0.84305555555555556</v>
      </c>
      <c r="AU91" s="52" t="s">
        <v>365</v>
      </c>
      <c r="AV91" s="60">
        <v>92.75</v>
      </c>
      <c r="AW91" s="59">
        <v>25</v>
      </c>
      <c r="AX91" s="48" t="s">
        <v>455</v>
      </c>
      <c r="AY91" s="48" t="s">
        <v>456</v>
      </c>
      <c r="AZ91" s="49">
        <v>0.57281250000000006</v>
      </c>
      <c r="BA91" s="48" t="s">
        <v>217</v>
      </c>
      <c r="BB91" s="50">
        <v>0.20138888888888887</v>
      </c>
      <c r="BC91" s="51">
        <v>0.91736111111111107</v>
      </c>
      <c r="BD91" s="51">
        <v>0.22777777777777777</v>
      </c>
      <c r="BE91" s="51">
        <v>0.89097222222222217</v>
      </c>
      <c r="BF91" s="51">
        <v>0.25277777777777777</v>
      </c>
      <c r="BG91" s="51">
        <v>0.86597222222222225</v>
      </c>
      <c r="BH91" s="52" t="s">
        <v>457</v>
      </c>
      <c r="BI91" s="60">
        <v>93.534999999999997</v>
      </c>
      <c r="BL91" s="61">
        <v>26</v>
      </c>
      <c r="BM91" s="53" t="s">
        <v>558</v>
      </c>
      <c r="BN91" s="53" t="s">
        <v>562</v>
      </c>
      <c r="BO91" s="54">
        <v>0.61608796296296298</v>
      </c>
      <c r="BP91" s="53" t="s">
        <v>563</v>
      </c>
      <c r="BQ91" s="55">
        <v>0.16805555555555554</v>
      </c>
      <c r="BR91" s="56">
        <v>0.95000000000000007</v>
      </c>
      <c r="BS91" s="56">
        <v>0.19999999999999998</v>
      </c>
      <c r="BT91" s="56">
        <v>0.91736111111111107</v>
      </c>
      <c r="BU91" s="56">
        <v>0.22847222222222222</v>
      </c>
      <c r="BV91" s="56">
        <v>0.88888888888888884</v>
      </c>
      <c r="BW91" s="57" t="s">
        <v>564</v>
      </c>
      <c r="BX91" s="62">
        <v>94.183000000000007</v>
      </c>
      <c r="BZ91" s="59">
        <v>25</v>
      </c>
      <c r="CA91" s="48" t="s">
        <v>634</v>
      </c>
      <c r="CB91" s="48" t="s">
        <v>632</v>
      </c>
      <c r="CC91" s="49">
        <v>0.62864583333333335</v>
      </c>
      <c r="CD91" s="48" t="s">
        <v>639</v>
      </c>
      <c r="CE91" s="50">
        <v>0.16041666666666668</v>
      </c>
      <c r="CF91" s="51">
        <v>0.96458333333333324</v>
      </c>
      <c r="CG91" s="51">
        <v>0.19513888888888889</v>
      </c>
      <c r="CH91" s="51">
        <v>0.9291666666666667</v>
      </c>
      <c r="CI91" s="51">
        <v>0.22500000000000001</v>
      </c>
      <c r="CJ91" s="51">
        <v>0.9</v>
      </c>
      <c r="CK91" s="52" t="s">
        <v>638</v>
      </c>
      <c r="CL91" s="60">
        <v>94.491</v>
      </c>
      <c r="CN91" s="61">
        <v>26</v>
      </c>
      <c r="CO91" s="53" t="s">
        <v>734</v>
      </c>
      <c r="CP91" s="53" t="s">
        <v>735</v>
      </c>
      <c r="CQ91" s="54">
        <v>0.60380787037037031</v>
      </c>
      <c r="CR91" s="53" t="s">
        <v>736</v>
      </c>
      <c r="CS91" s="55">
        <v>0.18402777777777779</v>
      </c>
      <c r="CT91" s="56">
        <v>0.94513888888888886</v>
      </c>
      <c r="CU91" s="56">
        <v>0.21388888888888891</v>
      </c>
      <c r="CV91" s="56">
        <v>0.91527777777777775</v>
      </c>
      <c r="CW91" s="56">
        <v>0.24097222222222223</v>
      </c>
      <c r="CX91" s="56">
        <v>0.8881944444444444</v>
      </c>
      <c r="CY91" s="57" t="s">
        <v>737</v>
      </c>
      <c r="CZ91" s="62">
        <v>94.402000000000001</v>
      </c>
      <c r="DB91" s="61">
        <v>26</v>
      </c>
      <c r="DC91" s="53" t="s">
        <v>421</v>
      </c>
      <c r="DD91" s="53" t="s">
        <v>858</v>
      </c>
      <c r="DE91" s="54">
        <v>0.55496527777777771</v>
      </c>
      <c r="DF91" s="53" t="s">
        <v>859</v>
      </c>
      <c r="DG91" s="55">
        <v>0.21527777777777779</v>
      </c>
      <c r="DH91" s="56">
        <v>0.90694444444444444</v>
      </c>
      <c r="DI91" s="56">
        <v>0.24027777777777778</v>
      </c>
      <c r="DJ91" s="56">
        <v>0.88194444444444453</v>
      </c>
      <c r="DK91" s="56">
        <v>0.2638888888888889</v>
      </c>
      <c r="DL91" s="56">
        <v>0.85833333333333339</v>
      </c>
      <c r="DM91" s="57" t="s">
        <v>860</v>
      </c>
      <c r="DN91" s="62">
        <v>93.921999999999997</v>
      </c>
      <c r="DP91" s="59">
        <v>25</v>
      </c>
      <c r="DQ91" s="48" t="s">
        <v>953</v>
      </c>
      <c r="DR91" s="48" t="s">
        <v>954</v>
      </c>
      <c r="DS91" s="49">
        <v>0.49997685185185187</v>
      </c>
      <c r="DT91" s="48" t="s">
        <v>924</v>
      </c>
      <c r="DU91" s="50">
        <v>0.24027777777777778</v>
      </c>
      <c r="DV91" s="51">
        <v>0.86805555555555547</v>
      </c>
      <c r="DW91" s="51">
        <v>0.26319444444444445</v>
      </c>
      <c r="DX91" s="51">
        <v>0.84513888888888899</v>
      </c>
      <c r="DY91" s="51">
        <v>0.28541666666666665</v>
      </c>
      <c r="DZ91" s="51">
        <v>0.82291666666666663</v>
      </c>
      <c r="EA91" s="52" t="s">
        <v>955</v>
      </c>
      <c r="EB91" s="60">
        <v>93.200999999999993</v>
      </c>
      <c r="ED91" s="61">
        <v>26</v>
      </c>
      <c r="EE91" s="53" t="s">
        <v>1047</v>
      </c>
      <c r="EF91" s="53" t="s">
        <v>1048</v>
      </c>
      <c r="EG91" s="54">
        <v>0.44368055555555558</v>
      </c>
      <c r="EH91" s="53" t="s">
        <v>841</v>
      </c>
      <c r="EI91" s="55">
        <v>0.26319444444444445</v>
      </c>
      <c r="EJ91" s="56">
        <v>0.83472222222222225</v>
      </c>
      <c r="EK91" s="56">
        <v>0.28541666666666665</v>
      </c>
      <c r="EL91" s="56">
        <v>0.8125</v>
      </c>
      <c r="EM91" s="56">
        <v>0.30763888888888891</v>
      </c>
      <c r="EN91" s="56">
        <v>0.79027777777777775</v>
      </c>
      <c r="EO91" s="57" t="s">
        <v>1049</v>
      </c>
      <c r="EP91" s="62">
        <v>92.387</v>
      </c>
      <c r="ER91" s="61">
        <v>25</v>
      </c>
      <c r="ES91" s="53" t="s">
        <v>1147</v>
      </c>
      <c r="ET91" s="53" t="s">
        <v>1148</v>
      </c>
      <c r="EU91" s="54">
        <v>0.39999999999999997</v>
      </c>
      <c r="EV91" s="53" t="s">
        <v>709</v>
      </c>
      <c r="EW91" s="55">
        <v>0.24236111111111111</v>
      </c>
      <c r="EX91" s="56">
        <v>0.77708333333333324</v>
      </c>
      <c r="EY91" s="56">
        <v>0.26527777777777778</v>
      </c>
      <c r="EZ91" s="56">
        <v>0.75416666666666676</v>
      </c>
      <c r="FA91" s="56">
        <v>0.28888888888888892</v>
      </c>
      <c r="FB91" s="56">
        <v>0.73055555555555562</v>
      </c>
      <c r="FC91" s="57" t="s">
        <v>1149</v>
      </c>
      <c r="FD91" s="62">
        <v>91.744</v>
      </c>
      <c r="FF91" s="61">
        <v>26</v>
      </c>
      <c r="FG91" s="53" t="s">
        <v>1232</v>
      </c>
      <c r="FH91" s="53" t="s">
        <v>1234</v>
      </c>
      <c r="FI91" s="54">
        <v>0.38605324074074071</v>
      </c>
      <c r="FJ91" s="53" t="s">
        <v>1235</v>
      </c>
      <c r="FK91" s="55">
        <v>0.25763888888888892</v>
      </c>
      <c r="FL91" s="56">
        <v>0.78125</v>
      </c>
      <c r="FM91" s="56">
        <v>0.28125</v>
      </c>
      <c r="FN91" s="56">
        <v>0.75763888888888886</v>
      </c>
      <c r="FO91" s="56">
        <v>0.30486111111111108</v>
      </c>
      <c r="FP91" s="56">
        <v>0.73402777777777783</v>
      </c>
      <c r="FQ91" s="57" t="s">
        <v>1236</v>
      </c>
      <c r="FR91" s="62">
        <v>91.418999999999997</v>
      </c>
    </row>
    <row r="92" spans="1:174" ht="20.25" thickBot="1" x14ac:dyDescent="0.3">
      <c r="A92">
        <v>9</v>
      </c>
      <c r="B92">
        <v>56</v>
      </c>
      <c r="C92" s="59">
        <v>27</v>
      </c>
      <c r="D92" s="48" t="s">
        <v>151</v>
      </c>
      <c r="E92" s="48" t="s">
        <v>152</v>
      </c>
      <c r="F92" s="70">
        <v>0.41393518518518518</v>
      </c>
      <c r="G92" s="48" t="s">
        <v>153</v>
      </c>
      <c r="H92" s="50">
        <v>0.25486111111111109</v>
      </c>
      <c r="I92" s="51">
        <v>0.80069444444444438</v>
      </c>
      <c r="J92" s="51">
        <v>0.27777777777777779</v>
      </c>
      <c r="K92" s="51">
        <v>0.77777777777777779</v>
      </c>
      <c r="L92" s="51">
        <v>0.30069444444444443</v>
      </c>
      <c r="M92" s="51">
        <v>0.75486111111111109</v>
      </c>
      <c r="N92" s="52" t="s">
        <v>154</v>
      </c>
      <c r="O92" s="60">
        <v>91.531999999999996</v>
      </c>
      <c r="Q92" s="59">
        <v>25</v>
      </c>
      <c r="R92" s="59"/>
      <c r="S92" s="48" t="s">
        <v>265</v>
      </c>
      <c r="T92" s="48" t="s">
        <v>266</v>
      </c>
      <c r="U92" s="49">
        <v>0.46221064814814811</v>
      </c>
      <c r="V92" s="48" t="s">
        <v>263</v>
      </c>
      <c r="W92" s="50">
        <v>0.23402777777777781</v>
      </c>
      <c r="X92" s="51">
        <v>0.8222222222222223</v>
      </c>
      <c r="Y92" s="51">
        <v>0.25555555555555559</v>
      </c>
      <c r="Z92" s="51">
        <v>0.80069444444444438</v>
      </c>
      <c r="AA92" s="51">
        <v>0.27777777777777779</v>
      </c>
      <c r="AB92" s="51">
        <v>0.77847222222222223</v>
      </c>
      <c r="AC92" s="52" t="s">
        <v>267</v>
      </c>
      <c r="AD92" s="91"/>
      <c r="AE92" s="91"/>
      <c r="AF92" s="91"/>
      <c r="AG92" s="91"/>
      <c r="AH92" s="60">
        <v>92.012</v>
      </c>
      <c r="AJ92" s="61">
        <v>27</v>
      </c>
      <c r="AK92" s="53" t="s">
        <v>366</v>
      </c>
      <c r="AL92" s="53" t="s">
        <v>367</v>
      </c>
      <c r="AM92" s="54">
        <v>0.52038194444444441</v>
      </c>
      <c r="AN92" s="53" t="s">
        <v>305</v>
      </c>
      <c r="AO92" s="55">
        <v>0.23958333333333334</v>
      </c>
      <c r="AP92" s="56">
        <v>0.88958333333333339</v>
      </c>
      <c r="AQ92" s="56">
        <v>0.26250000000000001</v>
      </c>
      <c r="AR92" s="56">
        <v>0.86597222222222225</v>
      </c>
      <c r="AS92" s="56">
        <v>0.28472222222222221</v>
      </c>
      <c r="AT92" s="56">
        <v>0.84375</v>
      </c>
      <c r="AU92" s="57" t="s">
        <v>368</v>
      </c>
      <c r="AV92" s="62">
        <v>92.777000000000001</v>
      </c>
      <c r="AW92" s="61">
        <v>26</v>
      </c>
      <c r="AX92" s="53" t="s">
        <v>458</v>
      </c>
      <c r="AY92" s="53" t="s">
        <v>459</v>
      </c>
      <c r="AZ92" s="54">
        <v>0.5744907407407408</v>
      </c>
      <c r="BA92" s="53" t="s">
        <v>213</v>
      </c>
      <c r="BB92" s="55">
        <v>0.19999999999999998</v>
      </c>
      <c r="BC92" s="56">
        <v>0.91805555555555562</v>
      </c>
      <c r="BD92" s="56">
        <v>0.22708333333333333</v>
      </c>
      <c r="BE92" s="56">
        <v>0.89166666666666661</v>
      </c>
      <c r="BF92" s="56">
        <v>0.25138888888888888</v>
      </c>
      <c r="BG92" s="56">
        <v>0.8666666666666667</v>
      </c>
      <c r="BH92" s="57" t="s">
        <v>460</v>
      </c>
      <c r="BI92" s="62">
        <v>93.56</v>
      </c>
      <c r="BL92" s="59">
        <v>27</v>
      </c>
      <c r="BM92" s="48" t="s">
        <v>565</v>
      </c>
      <c r="BN92" s="48" t="s">
        <v>566</v>
      </c>
      <c r="BO92" s="49">
        <v>0.61706018518518524</v>
      </c>
      <c r="BP92" s="48" t="s">
        <v>567</v>
      </c>
      <c r="BQ92" s="50">
        <v>0.1673611111111111</v>
      </c>
      <c r="BR92" s="51">
        <v>0.9506944444444444</v>
      </c>
      <c r="BS92" s="51">
        <v>0.19930555555555554</v>
      </c>
      <c r="BT92" s="51">
        <v>0.91805555555555562</v>
      </c>
      <c r="BU92" s="51">
        <v>0.22777777777777777</v>
      </c>
      <c r="BV92" s="51">
        <v>0.88958333333333339</v>
      </c>
      <c r="BW92" s="52" t="s">
        <v>568</v>
      </c>
      <c r="BX92" s="60">
        <v>94.2</v>
      </c>
      <c r="BZ92" s="61">
        <v>26</v>
      </c>
      <c r="CA92" s="53" t="s">
        <v>640</v>
      </c>
      <c r="CB92" s="53" t="s">
        <v>632</v>
      </c>
      <c r="CC92" s="54">
        <v>0.62841435185185179</v>
      </c>
      <c r="CD92" s="53" t="s">
        <v>641</v>
      </c>
      <c r="CE92" s="55">
        <v>0.16041666666666668</v>
      </c>
      <c r="CF92" s="56">
        <v>0.96458333333333324</v>
      </c>
      <c r="CG92" s="56">
        <v>0.19513888888888889</v>
      </c>
      <c r="CH92" s="56">
        <v>0.9291666666666667</v>
      </c>
      <c r="CI92" s="56">
        <v>0.22500000000000001</v>
      </c>
      <c r="CJ92" s="56">
        <v>0.9</v>
      </c>
      <c r="CK92" s="57" t="s">
        <v>638</v>
      </c>
      <c r="CL92" s="62">
        <v>94.495999999999995</v>
      </c>
      <c r="CN92" s="59">
        <v>27</v>
      </c>
      <c r="CO92" s="48" t="s">
        <v>738</v>
      </c>
      <c r="CP92" s="48" t="s">
        <v>739</v>
      </c>
      <c r="CQ92" s="49">
        <v>0.60250000000000004</v>
      </c>
      <c r="CR92" s="48" t="s">
        <v>740</v>
      </c>
      <c r="CS92" s="50">
        <v>0.18472222222222223</v>
      </c>
      <c r="CT92" s="51">
        <v>0.94444444444444453</v>
      </c>
      <c r="CU92" s="51">
        <v>0.21458333333333335</v>
      </c>
      <c r="CV92" s="51">
        <v>0.9145833333333333</v>
      </c>
      <c r="CW92" s="51">
        <v>0.24166666666666667</v>
      </c>
      <c r="CX92" s="51">
        <v>0.88750000000000007</v>
      </c>
      <c r="CY92" s="52" t="s">
        <v>741</v>
      </c>
      <c r="CZ92" s="60">
        <v>94.393000000000001</v>
      </c>
      <c r="DB92" s="59">
        <v>27</v>
      </c>
      <c r="DC92" s="48" t="s">
        <v>861</v>
      </c>
      <c r="DD92" s="48" t="s">
        <v>862</v>
      </c>
      <c r="DE92" s="49">
        <v>0.55319444444444443</v>
      </c>
      <c r="DF92" s="48" t="s">
        <v>859</v>
      </c>
      <c r="DG92" s="50">
        <v>0.21597222222222223</v>
      </c>
      <c r="DH92" s="51">
        <v>0.90555555555555556</v>
      </c>
      <c r="DI92" s="51">
        <v>0.24097222222222223</v>
      </c>
      <c r="DJ92" s="51">
        <v>0.88124999999999998</v>
      </c>
      <c r="DK92" s="51">
        <v>0.26458333333333334</v>
      </c>
      <c r="DL92" s="51">
        <v>0.85763888888888884</v>
      </c>
      <c r="DM92" s="52" t="s">
        <v>863</v>
      </c>
      <c r="DN92" s="60">
        <v>93.902000000000001</v>
      </c>
      <c r="DP92" s="61">
        <v>26</v>
      </c>
      <c r="DQ92" s="53" t="s">
        <v>956</v>
      </c>
      <c r="DR92" s="53" t="s">
        <v>957</v>
      </c>
      <c r="DS92" s="54">
        <v>0.49812499999999998</v>
      </c>
      <c r="DT92" s="53" t="s">
        <v>924</v>
      </c>
      <c r="DU92" s="55">
        <v>0.24166666666666667</v>
      </c>
      <c r="DV92" s="56">
        <v>0.8666666666666667</v>
      </c>
      <c r="DW92" s="56">
        <v>0.2638888888888889</v>
      </c>
      <c r="DX92" s="56">
        <v>0.84444444444444444</v>
      </c>
      <c r="DY92" s="56">
        <v>0.28611111111111115</v>
      </c>
      <c r="DZ92" s="56">
        <v>0.8222222222222223</v>
      </c>
      <c r="EA92" s="57" t="s">
        <v>958</v>
      </c>
      <c r="EB92" s="62">
        <v>93.174999999999997</v>
      </c>
      <c r="ED92" s="59">
        <v>27</v>
      </c>
      <c r="EE92" s="48" t="s">
        <v>1050</v>
      </c>
      <c r="EF92" s="48" t="s">
        <v>1051</v>
      </c>
      <c r="EG92" s="49">
        <v>0.44196759259259261</v>
      </c>
      <c r="EH92" s="48" t="s">
        <v>837</v>
      </c>
      <c r="EI92" s="50">
        <v>0.2638888888888889</v>
      </c>
      <c r="EJ92" s="51">
        <v>0.8340277777777777</v>
      </c>
      <c r="EK92" s="51">
        <v>0.28611111111111115</v>
      </c>
      <c r="EL92" s="51">
        <v>0.81180555555555556</v>
      </c>
      <c r="EM92" s="51">
        <v>0.30833333333333335</v>
      </c>
      <c r="EN92" s="51">
        <v>0.7895833333333333</v>
      </c>
      <c r="EO92" s="52" t="s">
        <v>1052</v>
      </c>
      <c r="EP92" s="60">
        <v>92.361999999999995</v>
      </c>
      <c r="ER92" s="59">
        <v>26</v>
      </c>
      <c r="ES92" s="48" t="s">
        <v>1150</v>
      </c>
      <c r="ET92" s="48" t="s">
        <v>1151</v>
      </c>
      <c r="EU92" s="49">
        <v>0.39893518518518517</v>
      </c>
      <c r="EV92" s="48" t="s">
        <v>706</v>
      </c>
      <c r="EW92" s="50">
        <v>0.24305555555555555</v>
      </c>
      <c r="EX92" s="51">
        <v>0.77638888888888891</v>
      </c>
      <c r="EY92" s="51">
        <v>0.26597222222222222</v>
      </c>
      <c r="EZ92" s="51">
        <v>0.75416666666666676</v>
      </c>
      <c r="FA92" s="51">
        <v>0.28958333333333336</v>
      </c>
      <c r="FB92" s="51">
        <v>0.73055555555555562</v>
      </c>
      <c r="FC92" s="52" t="s">
        <v>1152</v>
      </c>
      <c r="FD92" s="60">
        <v>91.727000000000004</v>
      </c>
      <c r="FF92" s="59">
        <v>27</v>
      </c>
      <c r="FG92" s="48" t="s">
        <v>1232</v>
      </c>
      <c r="FH92" s="48" t="s">
        <v>1237</v>
      </c>
      <c r="FI92" s="49">
        <v>0.38633101851851853</v>
      </c>
      <c r="FJ92" s="48" t="s">
        <v>1238</v>
      </c>
      <c r="FK92" s="50">
        <v>0.25833333333333336</v>
      </c>
      <c r="FL92" s="51">
        <v>0.78125</v>
      </c>
      <c r="FM92" s="51">
        <v>0.28125</v>
      </c>
      <c r="FN92" s="51">
        <v>0.7583333333333333</v>
      </c>
      <c r="FO92" s="51">
        <v>0.30486111111111108</v>
      </c>
      <c r="FP92" s="51">
        <v>0.73472222222222217</v>
      </c>
      <c r="FQ92" s="52" t="s">
        <v>1239</v>
      </c>
      <c r="FR92" s="60">
        <v>91.415999999999997</v>
      </c>
    </row>
    <row r="93" spans="1:174" ht="20.25" thickBot="1" x14ac:dyDescent="0.3">
      <c r="A93">
        <v>9</v>
      </c>
      <c r="B93">
        <v>58</v>
      </c>
      <c r="C93" s="61">
        <v>28</v>
      </c>
      <c r="D93" s="53" t="s">
        <v>155</v>
      </c>
      <c r="E93" s="53" t="s">
        <v>156</v>
      </c>
      <c r="F93" s="71">
        <v>0.4153587962962963</v>
      </c>
      <c r="G93" s="53" t="s">
        <v>157</v>
      </c>
      <c r="H93" s="55">
        <v>0.25486111111111109</v>
      </c>
      <c r="I93" s="56">
        <v>0.80138888888888893</v>
      </c>
      <c r="J93" s="56">
        <v>0.27708333333333335</v>
      </c>
      <c r="K93" s="56">
        <v>0.77916666666666667</v>
      </c>
      <c r="L93" s="56">
        <v>0.3</v>
      </c>
      <c r="M93" s="56">
        <v>0.75555555555555554</v>
      </c>
      <c r="N93" s="57" t="s">
        <v>158</v>
      </c>
      <c r="O93" s="62">
        <v>91.543999999999997</v>
      </c>
      <c r="Q93" s="61">
        <v>26</v>
      </c>
      <c r="R93" s="98"/>
      <c r="S93" s="53" t="s">
        <v>268</v>
      </c>
      <c r="T93" s="53" t="s">
        <v>269</v>
      </c>
      <c r="U93" s="54">
        <v>0.4640393518518518</v>
      </c>
      <c r="V93" s="53" t="s">
        <v>270</v>
      </c>
      <c r="W93" s="55">
        <v>0.23263888888888887</v>
      </c>
      <c r="X93" s="56">
        <v>0.82361111111111107</v>
      </c>
      <c r="Y93" s="56">
        <v>0.25486111111111109</v>
      </c>
      <c r="Z93" s="56">
        <v>0.80138888888888893</v>
      </c>
      <c r="AA93" s="56">
        <v>0.27708333333333335</v>
      </c>
      <c r="AB93" s="56">
        <v>0.77916666666666667</v>
      </c>
      <c r="AC93" s="57" t="s">
        <v>271</v>
      </c>
      <c r="AD93" s="92"/>
      <c r="AE93" s="92"/>
      <c r="AF93" s="92"/>
      <c r="AG93" s="92"/>
      <c r="AH93" s="62">
        <v>92.034000000000006</v>
      </c>
      <c r="AJ93" s="59">
        <v>28</v>
      </c>
      <c r="AK93" s="48" t="s">
        <v>369</v>
      </c>
      <c r="AL93" s="48" t="s">
        <v>370</v>
      </c>
      <c r="AM93" s="49">
        <v>0.52225694444444437</v>
      </c>
      <c r="AN93" s="48" t="s">
        <v>305</v>
      </c>
      <c r="AO93" s="50">
        <v>0.23819444444444446</v>
      </c>
      <c r="AP93" s="51">
        <v>0.89027777777777783</v>
      </c>
      <c r="AQ93" s="51">
        <v>0.26111111111111113</v>
      </c>
      <c r="AR93" s="51">
        <v>0.8666666666666667</v>
      </c>
      <c r="AS93" s="51">
        <v>0.28402777777777777</v>
      </c>
      <c r="AT93" s="51">
        <v>0.84444444444444444</v>
      </c>
      <c r="AU93" s="52" t="s">
        <v>371</v>
      </c>
      <c r="AV93" s="60">
        <v>92.804000000000002</v>
      </c>
      <c r="AW93" s="59">
        <v>27</v>
      </c>
      <c r="AX93" s="48" t="s">
        <v>461</v>
      </c>
      <c r="AY93" s="48" t="s">
        <v>462</v>
      </c>
      <c r="AZ93" s="49">
        <v>0.5761574074074074</v>
      </c>
      <c r="BA93" s="48" t="s">
        <v>209</v>
      </c>
      <c r="BB93" s="50">
        <v>0.19930555555555554</v>
      </c>
      <c r="BC93" s="51">
        <v>0.9194444444444444</v>
      </c>
      <c r="BD93" s="51">
        <v>0.22569444444444445</v>
      </c>
      <c r="BE93" s="51">
        <v>0.89236111111111116</v>
      </c>
      <c r="BF93" s="51">
        <v>0.25069444444444444</v>
      </c>
      <c r="BG93" s="51">
        <v>0.86736111111111114</v>
      </c>
      <c r="BH93" s="52" t="s">
        <v>463</v>
      </c>
      <c r="BI93" s="60">
        <v>93.584999999999994</v>
      </c>
      <c r="BL93" s="61">
        <v>28</v>
      </c>
      <c r="BM93" s="53" t="s">
        <v>565</v>
      </c>
      <c r="BN93" s="53" t="s">
        <v>569</v>
      </c>
      <c r="BO93" s="54">
        <v>0.61800925925925931</v>
      </c>
      <c r="BP93" s="53" t="s">
        <v>570</v>
      </c>
      <c r="BQ93" s="55">
        <v>0.16666666666666666</v>
      </c>
      <c r="BR93" s="56">
        <v>0.95138888888888884</v>
      </c>
      <c r="BS93" s="56">
        <v>0.1986111111111111</v>
      </c>
      <c r="BT93" s="56">
        <v>0.91875000000000007</v>
      </c>
      <c r="BU93" s="56">
        <v>0.22708333333333333</v>
      </c>
      <c r="BV93" s="56">
        <v>0.89027777777777783</v>
      </c>
      <c r="BW93" s="57" t="s">
        <v>571</v>
      </c>
      <c r="BX93" s="62">
        <v>94.215999999999994</v>
      </c>
      <c r="BZ93" s="59">
        <v>27</v>
      </c>
      <c r="CA93" s="48" t="s">
        <v>640</v>
      </c>
      <c r="CB93" s="48" t="s">
        <v>632</v>
      </c>
      <c r="CC93" s="49">
        <v>0.62813657407407408</v>
      </c>
      <c r="CD93" s="48" t="s">
        <v>642</v>
      </c>
      <c r="CE93" s="50">
        <v>0.16111111111111112</v>
      </c>
      <c r="CF93" s="51">
        <v>0.96458333333333324</v>
      </c>
      <c r="CG93" s="51">
        <v>0.19583333333333333</v>
      </c>
      <c r="CH93" s="51">
        <v>0.9291666666666667</v>
      </c>
      <c r="CI93" s="51">
        <v>0.22569444444444445</v>
      </c>
      <c r="CJ93" s="51">
        <v>0.9</v>
      </c>
      <c r="CK93" s="52" t="s">
        <v>643</v>
      </c>
      <c r="CL93" s="60">
        <v>94.5</v>
      </c>
      <c r="CN93" s="61">
        <v>28</v>
      </c>
      <c r="CO93" s="53" t="s">
        <v>742</v>
      </c>
      <c r="CP93" s="53" t="s">
        <v>743</v>
      </c>
      <c r="CQ93" s="54">
        <v>0.60115740740740742</v>
      </c>
      <c r="CR93" s="53" t="s">
        <v>744</v>
      </c>
      <c r="CS93" s="55">
        <v>0.18611111111111112</v>
      </c>
      <c r="CT93" s="56">
        <v>0.94305555555555554</v>
      </c>
      <c r="CU93" s="56">
        <v>0.21597222222222223</v>
      </c>
      <c r="CV93" s="56">
        <v>0.91388888888888886</v>
      </c>
      <c r="CW93" s="56">
        <v>0.24236111111111111</v>
      </c>
      <c r="CX93" s="56">
        <v>0.88680555555555562</v>
      </c>
      <c r="CY93" s="57" t="s">
        <v>745</v>
      </c>
      <c r="CZ93" s="62">
        <v>94.382999999999996</v>
      </c>
      <c r="DB93" s="61">
        <v>28</v>
      </c>
      <c r="DC93" s="53" t="s">
        <v>864</v>
      </c>
      <c r="DD93" s="53" t="s">
        <v>419</v>
      </c>
      <c r="DE93" s="54">
        <v>0.55142361111111116</v>
      </c>
      <c r="DF93" s="53" t="s">
        <v>865</v>
      </c>
      <c r="DG93" s="55">
        <v>0.21736111111111112</v>
      </c>
      <c r="DH93" s="56">
        <v>0.90416666666666667</v>
      </c>
      <c r="DI93" s="56">
        <v>0.24166666666666667</v>
      </c>
      <c r="DJ93" s="56">
        <v>0.87986111111111109</v>
      </c>
      <c r="DK93" s="56">
        <v>0.26527777777777778</v>
      </c>
      <c r="DL93" s="56">
        <v>0.85625000000000007</v>
      </c>
      <c r="DM93" s="57" t="s">
        <v>866</v>
      </c>
      <c r="DN93" s="62">
        <v>93.881</v>
      </c>
      <c r="DP93" s="59">
        <v>27</v>
      </c>
      <c r="DQ93" s="48" t="s">
        <v>959</v>
      </c>
      <c r="DR93" s="48" t="s">
        <v>960</v>
      </c>
      <c r="DS93" s="49">
        <v>0.49626157407407406</v>
      </c>
      <c r="DT93" s="48" t="s">
        <v>924</v>
      </c>
      <c r="DU93" s="50">
        <v>0.24236111111111111</v>
      </c>
      <c r="DV93" s="51">
        <v>0.8652777777777777</v>
      </c>
      <c r="DW93" s="51">
        <v>0.26458333333333334</v>
      </c>
      <c r="DX93" s="51">
        <v>0.84305555555555556</v>
      </c>
      <c r="DY93" s="51">
        <v>0.28680555555555554</v>
      </c>
      <c r="DZ93" s="51">
        <v>0.8208333333333333</v>
      </c>
      <c r="EA93" s="52" t="s">
        <v>961</v>
      </c>
      <c r="EB93" s="60">
        <v>93.149000000000001</v>
      </c>
      <c r="ED93" s="61">
        <v>28</v>
      </c>
      <c r="EE93" s="53" t="s">
        <v>1053</v>
      </c>
      <c r="EF93" s="53" t="s">
        <v>1054</v>
      </c>
      <c r="EG93" s="54">
        <v>0.44026620370370373</v>
      </c>
      <c r="EH93" s="53" t="s">
        <v>833</v>
      </c>
      <c r="EI93" s="55">
        <v>0.26458333333333334</v>
      </c>
      <c r="EJ93" s="56">
        <v>0.83333333333333337</v>
      </c>
      <c r="EK93" s="56">
        <v>0.28680555555555554</v>
      </c>
      <c r="EL93" s="56">
        <v>0.81111111111111101</v>
      </c>
      <c r="EM93" s="56">
        <v>0.30902777777777779</v>
      </c>
      <c r="EN93" s="56">
        <v>0.78888888888888886</v>
      </c>
      <c r="EO93" s="57" t="s">
        <v>1055</v>
      </c>
      <c r="EP93" s="62">
        <v>92.337999999999994</v>
      </c>
      <c r="ER93" s="61">
        <v>27</v>
      </c>
      <c r="ES93" s="53" t="s">
        <v>1153</v>
      </c>
      <c r="ET93" s="53" t="s">
        <v>1154</v>
      </c>
      <c r="EU93" s="54">
        <v>0.3979050925925926</v>
      </c>
      <c r="EV93" s="53" t="s">
        <v>703</v>
      </c>
      <c r="EW93" s="55">
        <v>0.24374999999999999</v>
      </c>
      <c r="EX93" s="56">
        <v>0.77638888888888891</v>
      </c>
      <c r="EY93" s="56">
        <v>0.26666666666666666</v>
      </c>
      <c r="EZ93" s="56">
        <v>0.75347222222222221</v>
      </c>
      <c r="FA93" s="56">
        <v>0.2902777777777778</v>
      </c>
      <c r="FB93" s="56">
        <v>0.72986111111111107</v>
      </c>
      <c r="FC93" s="57" t="s">
        <v>1155</v>
      </c>
      <c r="FD93" s="62">
        <v>91.710999999999999</v>
      </c>
      <c r="FF93" s="61">
        <v>28</v>
      </c>
      <c r="FG93" s="53" t="s">
        <v>1240</v>
      </c>
      <c r="FH93" s="53" t="s">
        <v>1237</v>
      </c>
      <c r="FI93" s="54">
        <v>0.38665509259259262</v>
      </c>
      <c r="FJ93" s="53" t="s">
        <v>1241</v>
      </c>
      <c r="FK93" s="55">
        <v>0.25833333333333336</v>
      </c>
      <c r="FL93" s="56">
        <v>0.78194444444444444</v>
      </c>
      <c r="FM93" s="56">
        <v>0.28125</v>
      </c>
      <c r="FN93" s="56">
        <v>0.75902777777777775</v>
      </c>
      <c r="FO93" s="56">
        <v>0.30555555555555552</v>
      </c>
      <c r="FP93" s="56">
        <v>0.73472222222222217</v>
      </c>
      <c r="FQ93" s="57" t="s">
        <v>1242</v>
      </c>
      <c r="FR93" s="62">
        <v>91.412999999999997</v>
      </c>
    </row>
    <row r="94" spans="1:174" ht="20.25" thickBot="1" x14ac:dyDescent="0.3">
      <c r="A94">
        <v>10</v>
      </c>
      <c r="B94">
        <v>0</v>
      </c>
      <c r="C94" s="59">
        <v>29</v>
      </c>
      <c r="D94" s="48" t="s">
        <v>159</v>
      </c>
      <c r="E94" s="48" t="s">
        <v>160</v>
      </c>
      <c r="F94" s="70">
        <v>0.4168055555555556</v>
      </c>
      <c r="G94" s="48" t="s">
        <v>161</v>
      </c>
      <c r="H94" s="50">
        <v>0.25416666666666665</v>
      </c>
      <c r="I94" s="51">
        <v>0.80208333333333337</v>
      </c>
      <c r="J94" s="51">
        <v>0.27638888888888885</v>
      </c>
      <c r="K94" s="51">
        <v>0.77986111111111101</v>
      </c>
      <c r="L94" s="51">
        <v>0.29930555555555555</v>
      </c>
      <c r="M94" s="51">
        <v>0.75694444444444453</v>
      </c>
      <c r="N94" s="52" t="s">
        <v>162</v>
      </c>
      <c r="O94" s="60">
        <v>91.555999999999997</v>
      </c>
      <c r="Q94" s="59">
        <v>27</v>
      </c>
      <c r="R94" s="59"/>
      <c r="S94" s="48" t="s">
        <v>272</v>
      </c>
      <c r="T94" s="48" t="s">
        <v>273</v>
      </c>
      <c r="U94" s="49">
        <v>0.46587962962962964</v>
      </c>
      <c r="V94" s="48" t="s">
        <v>270</v>
      </c>
      <c r="W94" s="50">
        <v>0.23194444444444443</v>
      </c>
      <c r="X94" s="51">
        <v>0.82430555555555562</v>
      </c>
      <c r="Y94" s="51">
        <v>0.25347222222222221</v>
      </c>
      <c r="Z94" s="51">
        <v>0.80208333333333337</v>
      </c>
      <c r="AA94" s="51">
        <v>0.27569444444444446</v>
      </c>
      <c r="AB94" s="51">
        <v>0.77986111111111101</v>
      </c>
      <c r="AC94" s="52" t="s">
        <v>274</v>
      </c>
      <c r="AD94" s="91"/>
      <c r="AE94" s="91"/>
      <c r="AF94" s="91"/>
      <c r="AG94" s="91"/>
      <c r="AH94" s="60">
        <v>92.055999999999997</v>
      </c>
      <c r="AJ94" s="61">
        <v>29</v>
      </c>
      <c r="AK94" s="53" t="s">
        <v>372</v>
      </c>
      <c r="AL94" s="53" t="s">
        <v>373</v>
      </c>
      <c r="AM94" s="54">
        <v>0.52413194444444444</v>
      </c>
      <c r="AN94" s="53" t="s">
        <v>305</v>
      </c>
      <c r="AO94" s="55">
        <v>0.23680555555555557</v>
      </c>
      <c r="AP94" s="56">
        <v>0.89097222222222217</v>
      </c>
      <c r="AQ94" s="56">
        <v>0.26041666666666669</v>
      </c>
      <c r="AR94" s="56">
        <v>0.86805555555555547</v>
      </c>
      <c r="AS94" s="56">
        <v>0.28263888888888888</v>
      </c>
      <c r="AT94" s="56">
        <v>0.84513888888888899</v>
      </c>
      <c r="AU94" s="57" t="s">
        <v>374</v>
      </c>
      <c r="AV94" s="62">
        <v>92.831000000000003</v>
      </c>
      <c r="AW94" s="61">
        <v>28</v>
      </c>
      <c r="AX94" s="53" t="s">
        <v>464</v>
      </c>
      <c r="AY94" s="53" t="s">
        <v>465</v>
      </c>
      <c r="AZ94" s="54">
        <v>0.57781249999999995</v>
      </c>
      <c r="BA94" s="53" t="s">
        <v>466</v>
      </c>
      <c r="BB94" s="55">
        <v>0.19791666666666666</v>
      </c>
      <c r="BC94" s="56">
        <v>0.92013888888888884</v>
      </c>
      <c r="BD94" s="56">
        <v>0.22430555555555556</v>
      </c>
      <c r="BE94" s="56">
        <v>0.8930555555555556</v>
      </c>
      <c r="BF94" s="56">
        <v>0.24930555555555556</v>
      </c>
      <c r="BG94" s="56">
        <v>0.86805555555555547</v>
      </c>
      <c r="BH94" s="57" t="s">
        <v>467</v>
      </c>
      <c r="BI94" s="62">
        <v>93.61</v>
      </c>
      <c r="BL94" s="59">
        <v>29</v>
      </c>
      <c r="BM94" s="48" t="s">
        <v>572</v>
      </c>
      <c r="BN94" s="48" t="s">
        <v>569</v>
      </c>
      <c r="BO94" s="49">
        <v>0.61892361111111105</v>
      </c>
      <c r="BP94" s="48" t="s">
        <v>573</v>
      </c>
      <c r="BQ94" s="50">
        <v>0.16597222222222222</v>
      </c>
      <c r="BR94" s="51">
        <v>0.95208333333333339</v>
      </c>
      <c r="BS94" s="51">
        <v>0.1986111111111111</v>
      </c>
      <c r="BT94" s="51">
        <v>0.9194444444444444</v>
      </c>
      <c r="BU94" s="51">
        <v>0.22708333333333333</v>
      </c>
      <c r="BV94" s="51">
        <v>0.89097222222222217</v>
      </c>
      <c r="BW94" s="52" t="s">
        <v>574</v>
      </c>
      <c r="BX94" s="60">
        <v>94.231999999999999</v>
      </c>
      <c r="BZ94" s="61">
        <v>28</v>
      </c>
      <c r="CA94" s="53" t="s">
        <v>640</v>
      </c>
      <c r="CB94" s="53" t="s">
        <v>632</v>
      </c>
      <c r="CC94" s="54">
        <v>0.62782407407407403</v>
      </c>
      <c r="CD94" s="53" t="s">
        <v>644</v>
      </c>
      <c r="CE94" s="55">
        <v>0.16111111111111112</v>
      </c>
      <c r="CF94" s="56">
        <v>0.96388888888888891</v>
      </c>
      <c r="CG94" s="56">
        <v>0.19583333333333333</v>
      </c>
      <c r="CH94" s="56">
        <v>0.9291666666666667</v>
      </c>
      <c r="CI94" s="56">
        <v>0.22569444444444445</v>
      </c>
      <c r="CJ94" s="56">
        <v>0.9</v>
      </c>
      <c r="CK94" s="57" t="s">
        <v>643</v>
      </c>
      <c r="CL94" s="62">
        <v>94.503</v>
      </c>
      <c r="CN94" s="59">
        <v>29</v>
      </c>
      <c r="CO94" s="48" t="s">
        <v>746</v>
      </c>
      <c r="CP94" s="48" t="s">
        <v>747</v>
      </c>
      <c r="CQ94" s="49">
        <v>0.59980324074074076</v>
      </c>
      <c r="CR94" s="48" t="s">
        <v>748</v>
      </c>
      <c r="CS94" s="50">
        <v>0.18680555555555556</v>
      </c>
      <c r="CT94" s="51">
        <v>0.94236111111111109</v>
      </c>
      <c r="CU94" s="51">
        <v>0.21666666666666667</v>
      </c>
      <c r="CV94" s="51">
        <v>0.91249999999999998</v>
      </c>
      <c r="CW94" s="51">
        <v>0.24305555555555555</v>
      </c>
      <c r="CX94" s="51">
        <v>0.88611111111111107</v>
      </c>
      <c r="CY94" s="52" t="s">
        <v>749</v>
      </c>
      <c r="CZ94" s="60">
        <v>94.373000000000005</v>
      </c>
      <c r="DB94" s="59">
        <v>29</v>
      </c>
      <c r="DC94" s="48" t="s">
        <v>415</v>
      </c>
      <c r="DD94" s="48" t="s">
        <v>867</v>
      </c>
      <c r="DE94" s="49">
        <v>0.54964120370370373</v>
      </c>
      <c r="DF94" s="48" t="s">
        <v>868</v>
      </c>
      <c r="DG94" s="50">
        <v>0.21805555555555556</v>
      </c>
      <c r="DH94" s="51">
        <v>0.90277777777777779</v>
      </c>
      <c r="DI94" s="51">
        <v>0.24236111111111111</v>
      </c>
      <c r="DJ94" s="51">
        <v>0.87847222222222221</v>
      </c>
      <c r="DK94" s="51">
        <v>0.26597222222222222</v>
      </c>
      <c r="DL94" s="51">
        <v>0.85486111111111107</v>
      </c>
      <c r="DM94" s="52" t="s">
        <v>869</v>
      </c>
      <c r="DN94" s="60">
        <v>93.86</v>
      </c>
      <c r="DP94" s="61">
        <v>28</v>
      </c>
      <c r="DQ94" s="53" t="s">
        <v>962</v>
      </c>
      <c r="DR94" s="53" t="s">
        <v>963</v>
      </c>
      <c r="DS94" s="54">
        <v>0.49439814814814814</v>
      </c>
      <c r="DT94" s="53" t="s">
        <v>924</v>
      </c>
      <c r="DU94" s="55">
        <v>0.24305555555555555</v>
      </c>
      <c r="DV94" s="56">
        <v>0.86388888888888893</v>
      </c>
      <c r="DW94" s="56">
        <v>0.26527777777777778</v>
      </c>
      <c r="DX94" s="56">
        <v>0.84166666666666667</v>
      </c>
      <c r="DY94" s="56">
        <v>0.28750000000000003</v>
      </c>
      <c r="DZ94" s="56">
        <v>0.81944444444444453</v>
      </c>
      <c r="EA94" s="57" t="s">
        <v>964</v>
      </c>
      <c r="EB94" s="62">
        <v>93.123000000000005</v>
      </c>
      <c r="ED94" s="59">
        <v>29</v>
      </c>
      <c r="EE94" s="48" t="s">
        <v>1056</v>
      </c>
      <c r="EF94" s="48" t="s">
        <v>1057</v>
      </c>
      <c r="EG94" s="49">
        <v>0.43857638888888889</v>
      </c>
      <c r="EH94" s="48" t="s">
        <v>829</v>
      </c>
      <c r="EI94" s="50">
        <v>0.26527777777777778</v>
      </c>
      <c r="EJ94" s="51">
        <v>0.83263888888888893</v>
      </c>
      <c r="EK94" s="51">
        <v>0.28750000000000003</v>
      </c>
      <c r="EL94" s="51">
        <v>0.81041666666666667</v>
      </c>
      <c r="EM94" s="51">
        <v>0.30972222222222223</v>
      </c>
      <c r="EN94" s="51">
        <v>0.78819444444444453</v>
      </c>
      <c r="EO94" s="52" t="s">
        <v>1058</v>
      </c>
      <c r="EP94" s="60">
        <v>92.313000000000002</v>
      </c>
      <c r="ER94" s="59">
        <v>28</v>
      </c>
      <c r="ES94" s="48" t="s">
        <v>1156</v>
      </c>
      <c r="ET94" s="48" t="s">
        <v>1154</v>
      </c>
      <c r="EU94" s="49">
        <v>0.39690972222222221</v>
      </c>
      <c r="EV94" s="48" t="s">
        <v>1157</v>
      </c>
      <c r="EW94" s="50">
        <v>0.24444444444444446</v>
      </c>
      <c r="EX94" s="51">
        <v>0.77638888888888891</v>
      </c>
      <c r="EY94" s="51">
        <v>0.2673611111111111</v>
      </c>
      <c r="EZ94" s="51">
        <v>0.75347222222222221</v>
      </c>
      <c r="FA94" s="51">
        <v>0.29097222222222224</v>
      </c>
      <c r="FB94" s="51">
        <v>0.72986111111111107</v>
      </c>
      <c r="FC94" s="52" t="s">
        <v>1158</v>
      </c>
      <c r="FD94" s="60">
        <v>91.695999999999998</v>
      </c>
      <c r="FF94" s="59">
        <v>29</v>
      </c>
      <c r="FG94" s="48" t="s">
        <v>62</v>
      </c>
      <c r="FH94" s="48" t="s">
        <v>1243</v>
      </c>
      <c r="FI94" s="49">
        <v>0.38702546296296297</v>
      </c>
      <c r="FJ94" s="48" t="s">
        <v>613</v>
      </c>
      <c r="FK94" s="50">
        <v>0.25833333333333336</v>
      </c>
      <c r="FL94" s="51">
        <v>0.78263888888888899</v>
      </c>
      <c r="FM94" s="51">
        <v>0.28194444444444444</v>
      </c>
      <c r="FN94" s="51">
        <v>0.7597222222222223</v>
      </c>
      <c r="FO94" s="51">
        <v>0.30555555555555552</v>
      </c>
      <c r="FP94" s="51">
        <v>0.73541666666666661</v>
      </c>
      <c r="FQ94" s="52" t="s">
        <v>1244</v>
      </c>
      <c r="FR94" s="60">
        <v>91.411000000000001</v>
      </c>
    </row>
    <row r="95" spans="1:174" ht="20.25" thickBot="1" x14ac:dyDescent="0.3">
      <c r="A95">
        <v>10</v>
      </c>
      <c r="B95">
        <v>2</v>
      </c>
      <c r="C95" s="61">
        <v>30</v>
      </c>
      <c r="D95" s="53" t="s">
        <v>163</v>
      </c>
      <c r="E95" s="53" t="s">
        <v>164</v>
      </c>
      <c r="F95" s="71">
        <v>0.41827546296296297</v>
      </c>
      <c r="G95" s="53" t="s">
        <v>165</v>
      </c>
      <c r="H95" s="55">
        <v>0.25347222222222221</v>
      </c>
      <c r="I95" s="56">
        <v>0.8027777777777777</v>
      </c>
      <c r="J95" s="56">
        <v>0.27569444444444446</v>
      </c>
      <c r="K95" s="56">
        <v>0.78055555555555556</v>
      </c>
      <c r="L95" s="56">
        <v>0.2986111111111111</v>
      </c>
      <c r="M95" s="56">
        <v>0.75763888888888886</v>
      </c>
      <c r="N95" s="57" t="s">
        <v>166</v>
      </c>
      <c r="O95" s="62">
        <v>91.567999999999998</v>
      </c>
      <c r="Q95" s="61">
        <v>28</v>
      </c>
      <c r="R95" s="98"/>
      <c r="S95" s="53" t="s">
        <v>275</v>
      </c>
      <c r="T95" s="53" t="s">
        <v>276</v>
      </c>
      <c r="U95" s="54">
        <v>0.46771990740740743</v>
      </c>
      <c r="V95" s="53" t="s">
        <v>277</v>
      </c>
      <c r="W95" s="55">
        <v>0.23055555555555554</v>
      </c>
      <c r="X95" s="56">
        <v>0.82500000000000007</v>
      </c>
      <c r="Y95" s="56">
        <v>0.25277777777777777</v>
      </c>
      <c r="Z95" s="56">
        <v>0.8027777777777777</v>
      </c>
      <c r="AA95" s="56">
        <v>0.27499999999999997</v>
      </c>
      <c r="AB95" s="56">
        <v>0.78055555555555556</v>
      </c>
      <c r="AC95" s="57" t="s">
        <v>278</v>
      </c>
      <c r="AD95" s="92"/>
      <c r="AE95" s="92"/>
      <c r="AF95" s="92"/>
      <c r="AG95" s="92"/>
      <c r="AH95" s="62">
        <v>92.078999999999994</v>
      </c>
      <c r="AJ95" s="59">
        <v>30</v>
      </c>
      <c r="AK95" s="48" t="s">
        <v>375</v>
      </c>
      <c r="AL95" s="48" t="s">
        <v>376</v>
      </c>
      <c r="AM95" s="49">
        <v>0.52600694444444451</v>
      </c>
      <c r="AN95" s="48" t="s">
        <v>305</v>
      </c>
      <c r="AO95" s="50">
        <v>0.23541666666666669</v>
      </c>
      <c r="AP95" s="51">
        <v>0.89166666666666661</v>
      </c>
      <c r="AQ95" s="51">
        <v>0.2590277777777778</v>
      </c>
      <c r="AR95" s="51">
        <v>0.86875000000000002</v>
      </c>
      <c r="AS95" s="51">
        <v>0.28125</v>
      </c>
      <c r="AT95" s="51">
        <v>0.84583333333333333</v>
      </c>
      <c r="AU95" s="52" t="s">
        <v>377</v>
      </c>
      <c r="AV95" s="60">
        <v>92.858000000000004</v>
      </c>
      <c r="AW95" s="59">
        <v>29</v>
      </c>
      <c r="AX95" s="48" t="s">
        <v>468</v>
      </c>
      <c r="AY95" s="48" t="s">
        <v>469</v>
      </c>
      <c r="AZ95" s="49">
        <v>0.57945601851851858</v>
      </c>
      <c r="BA95" s="48" t="s">
        <v>201</v>
      </c>
      <c r="BB95" s="50">
        <v>0.19652777777777777</v>
      </c>
      <c r="BC95" s="51">
        <v>0.92152777777777783</v>
      </c>
      <c r="BD95" s="51">
        <v>0.22361111111111109</v>
      </c>
      <c r="BE95" s="51">
        <v>0.89444444444444438</v>
      </c>
      <c r="BF95" s="51">
        <v>0.24861111111111112</v>
      </c>
      <c r="BG95" s="51">
        <v>0.86944444444444446</v>
      </c>
      <c r="BH95" s="52" t="s">
        <v>470</v>
      </c>
      <c r="BI95" s="60">
        <v>93.634</v>
      </c>
      <c r="BL95" s="61">
        <v>30</v>
      </c>
      <c r="BM95" s="53" t="s">
        <v>572</v>
      </c>
      <c r="BN95" s="53" t="s">
        <v>575</v>
      </c>
      <c r="BO95" s="54">
        <v>0.61980324074074067</v>
      </c>
      <c r="BP95" s="53" t="s">
        <v>576</v>
      </c>
      <c r="BQ95" s="55">
        <v>0.16527777777777777</v>
      </c>
      <c r="BR95" s="56">
        <v>0.95347222222222217</v>
      </c>
      <c r="BS95" s="56">
        <v>0.19791666666666666</v>
      </c>
      <c r="BT95" s="56">
        <v>0.92013888888888884</v>
      </c>
      <c r="BU95" s="56">
        <v>0.22638888888888889</v>
      </c>
      <c r="BV95" s="56">
        <v>0.89166666666666661</v>
      </c>
      <c r="BW95" s="57" t="s">
        <v>577</v>
      </c>
      <c r="BX95" s="62">
        <v>94.247</v>
      </c>
      <c r="BZ95" s="59">
        <v>29</v>
      </c>
      <c r="CA95" s="48" t="s">
        <v>645</v>
      </c>
      <c r="CB95" s="48" t="s">
        <v>632</v>
      </c>
      <c r="CC95" s="49">
        <v>0.62746527777777772</v>
      </c>
      <c r="CD95" s="48" t="s">
        <v>646</v>
      </c>
      <c r="CE95" s="50">
        <v>0.16180555555555556</v>
      </c>
      <c r="CF95" s="51">
        <v>0.96388888888888891</v>
      </c>
      <c r="CG95" s="51">
        <v>0.19652777777777777</v>
      </c>
      <c r="CH95" s="51">
        <v>0.9291666666666667</v>
      </c>
      <c r="CI95" s="51">
        <v>0.22569444444444445</v>
      </c>
      <c r="CJ95" s="51">
        <v>0.9</v>
      </c>
      <c r="CK95" s="52" t="s">
        <v>647</v>
      </c>
      <c r="CL95" s="60">
        <v>94.506</v>
      </c>
      <c r="CN95" s="61">
        <v>30</v>
      </c>
      <c r="CO95" s="53" t="s">
        <v>750</v>
      </c>
      <c r="CP95" s="53" t="s">
        <v>751</v>
      </c>
      <c r="CQ95" s="54">
        <v>0.59842592592592592</v>
      </c>
      <c r="CR95" s="53" t="s">
        <v>752</v>
      </c>
      <c r="CS95" s="55">
        <v>0.18819444444444444</v>
      </c>
      <c r="CT95" s="56">
        <v>0.94097222222222221</v>
      </c>
      <c r="CU95" s="56">
        <v>0.21736111111111112</v>
      </c>
      <c r="CV95" s="56">
        <v>0.91180555555555554</v>
      </c>
      <c r="CW95" s="56">
        <v>0.24374999999999999</v>
      </c>
      <c r="CX95" s="56">
        <v>0.88541666666666663</v>
      </c>
      <c r="CY95" s="57" t="s">
        <v>753</v>
      </c>
      <c r="CZ95" s="62">
        <v>94.363</v>
      </c>
      <c r="DB95" s="61">
        <v>30</v>
      </c>
      <c r="DC95" s="53" t="s">
        <v>870</v>
      </c>
      <c r="DD95" s="53" t="s">
        <v>410</v>
      </c>
      <c r="DE95" s="54">
        <v>0.54784722222222226</v>
      </c>
      <c r="DF95" s="53" t="s">
        <v>868</v>
      </c>
      <c r="DG95" s="55">
        <v>0.21875</v>
      </c>
      <c r="DH95" s="56">
        <v>0.90138888888888891</v>
      </c>
      <c r="DI95" s="56">
        <v>0.24374999999999999</v>
      </c>
      <c r="DJ95" s="56">
        <v>0.87708333333333333</v>
      </c>
      <c r="DK95" s="56">
        <v>0.26666666666666666</v>
      </c>
      <c r="DL95" s="56">
        <v>0.85416666666666663</v>
      </c>
      <c r="DM95" s="57" t="s">
        <v>871</v>
      </c>
      <c r="DN95" s="62">
        <v>93.837999999999994</v>
      </c>
      <c r="DP95" s="59">
        <v>29</v>
      </c>
      <c r="DQ95" s="48" t="s">
        <v>965</v>
      </c>
      <c r="DR95" s="48" t="s">
        <v>966</v>
      </c>
      <c r="DS95" s="49">
        <v>0.49253472222222222</v>
      </c>
      <c r="DT95" s="48" t="s">
        <v>924</v>
      </c>
      <c r="DU95" s="50">
        <v>0.24374999999999999</v>
      </c>
      <c r="DV95" s="51">
        <v>0.86319444444444438</v>
      </c>
      <c r="DW95" s="51">
        <v>0.26597222222222222</v>
      </c>
      <c r="DX95" s="51">
        <v>0.84027777777777779</v>
      </c>
      <c r="DY95" s="51">
        <v>0.28819444444444448</v>
      </c>
      <c r="DZ95" s="51">
        <v>0.81874999999999998</v>
      </c>
      <c r="EA95" s="52" t="s">
        <v>967</v>
      </c>
      <c r="EB95" s="60">
        <v>93.096999999999994</v>
      </c>
      <c r="ED95" s="61">
        <v>30</v>
      </c>
      <c r="EE95" s="53" t="s">
        <v>1059</v>
      </c>
      <c r="EF95" s="53" t="s">
        <v>1060</v>
      </c>
      <c r="EG95" s="54">
        <v>0.43689814814814815</v>
      </c>
      <c r="EH95" s="53" t="s">
        <v>825</v>
      </c>
      <c r="EI95" s="55">
        <v>0.26597222222222222</v>
      </c>
      <c r="EJ95" s="56">
        <v>0.83124999999999993</v>
      </c>
      <c r="EK95" s="56">
        <v>0.28819444444444448</v>
      </c>
      <c r="EL95" s="56">
        <v>0.80972222222222223</v>
      </c>
      <c r="EM95" s="56">
        <v>0.31041666666666667</v>
      </c>
      <c r="EN95" s="56">
        <v>0.78680555555555554</v>
      </c>
      <c r="EO95" s="57" t="s">
        <v>1061</v>
      </c>
      <c r="EP95" s="62">
        <v>92.289000000000001</v>
      </c>
      <c r="ER95" s="61">
        <v>29</v>
      </c>
      <c r="ES95" s="53" t="s">
        <v>1159</v>
      </c>
      <c r="ET95" s="53" t="s">
        <v>1154</v>
      </c>
      <c r="EU95" s="54">
        <v>0.39594907407407409</v>
      </c>
      <c r="EV95" s="53" t="s">
        <v>1160</v>
      </c>
      <c r="EW95" s="55">
        <v>0.24513888888888888</v>
      </c>
      <c r="EX95" s="56">
        <v>0.77638888888888891</v>
      </c>
      <c r="EY95" s="56">
        <v>0.26805555555555555</v>
      </c>
      <c r="EZ95" s="56">
        <v>0.75347222222222221</v>
      </c>
      <c r="FA95" s="56">
        <v>0.29166666666666669</v>
      </c>
      <c r="FB95" s="56">
        <v>0.72986111111111107</v>
      </c>
      <c r="FC95" s="57" t="s">
        <v>1161</v>
      </c>
      <c r="FD95" s="62">
        <v>91.68</v>
      </c>
      <c r="FF95" s="61">
        <v>30</v>
      </c>
      <c r="FG95" s="53" t="s">
        <v>62</v>
      </c>
      <c r="FH95" s="53" t="s">
        <v>1245</v>
      </c>
      <c r="FI95" s="54">
        <v>0.38743055555555556</v>
      </c>
      <c r="FJ95" s="53" t="s">
        <v>611</v>
      </c>
      <c r="FK95" s="55">
        <v>0.25833333333333336</v>
      </c>
      <c r="FL95" s="56">
        <v>0.78333333333333333</v>
      </c>
      <c r="FM95" s="56">
        <v>0.28194444444444444</v>
      </c>
      <c r="FN95" s="56">
        <v>0.7597222222222223</v>
      </c>
      <c r="FO95" s="56">
        <v>0.30555555555555552</v>
      </c>
      <c r="FP95" s="56">
        <v>0.73611111111111116</v>
      </c>
      <c r="FQ95" s="57" t="s">
        <v>1246</v>
      </c>
      <c r="FR95" s="62">
        <v>91.409000000000006</v>
      </c>
    </row>
    <row r="96" spans="1:174" ht="20.25" thickBot="1" x14ac:dyDescent="0.3">
      <c r="A96">
        <v>10</v>
      </c>
      <c r="B96">
        <v>4</v>
      </c>
      <c r="C96" s="59">
        <v>31</v>
      </c>
      <c r="D96" s="48" t="s">
        <v>167</v>
      </c>
      <c r="E96" s="48" t="s">
        <v>168</v>
      </c>
      <c r="F96" s="70">
        <v>0.41976851851851849</v>
      </c>
      <c r="G96" s="48" t="s">
        <v>169</v>
      </c>
      <c r="H96" s="50">
        <v>0.25277777777777777</v>
      </c>
      <c r="I96" s="51">
        <v>0.80347222222222225</v>
      </c>
      <c r="J96" s="51">
        <v>0.27569444444444446</v>
      </c>
      <c r="K96" s="51">
        <v>0.78125</v>
      </c>
      <c r="L96" s="51">
        <v>0.29791666666666666</v>
      </c>
      <c r="M96" s="51">
        <v>0.7583333333333333</v>
      </c>
      <c r="N96" s="52" t="s">
        <v>170</v>
      </c>
      <c r="O96" s="60">
        <v>91.581000000000003</v>
      </c>
      <c r="Q96" s="59">
        <v>29</v>
      </c>
      <c r="R96" s="59"/>
      <c r="S96" s="48" t="s">
        <v>279</v>
      </c>
      <c r="T96" s="48" t="s">
        <v>280</v>
      </c>
      <c r="U96" s="49">
        <v>0.46957175925925926</v>
      </c>
      <c r="V96" s="48" t="s">
        <v>277</v>
      </c>
      <c r="W96" s="50">
        <v>0.2298611111111111</v>
      </c>
      <c r="X96" s="51">
        <v>0.8256944444444444</v>
      </c>
      <c r="Y96" s="51">
        <v>0.25138888888888888</v>
      </c>
      <c r="Z96" s="51">
        <v>0.80347222222222225</v>
      </c>
      <c r="AA96" s="51">
        <v>0.27361111111111108</v>
      </c>
      <c r="AB96" s="51">
        <v>0.78125</v>
      </c>
      <c r="AC96" s="52" t="s">
        <v>281</v>
      </c>
      <c r="AD96" s="91"/>
      <c r="AE96" s="91"/>
      <c r="AF96" s="91"/>
      <c r="AG96" s="91"/>
      <c r="AH96" s="60">
        <v>92.102000000000004</v>
      </c>
      <c r="AJ96" s="75">
        <v>31</v>
      </c>
      <c r="AK96" s="76" t="s">
        <v>378</v>
      </c>
      <c r="AL96" s="76" t="s">
        <v>379</v>
      </c>
      <c r="AM96" s="77">
        <v>0.52788194444444447</v>
      </c>
      <c r="AN96" s="76" t="s">
        <v>295</v>
      </c>
      <c r="AO96" s="78">
        <v>0.23402777777777781</v>
      </c>
      <c r="AP96" s="79">
        <v>0.8930555555555556</v>
      </c>
      <c r="AQ96" s="79">
        <v>0.25763888888888892</v>
      </c>
      <c r="AR96" s="79">
        <v>0.86944444444444446</v>
      </c>
      <c r="AS96" s="79">
        <v>0.28055555555555556</v>
      </c>
      <c r="AT96" s="79">
        <v>0.84652777777777777</v>
      </c>
      <c r="AU96" s="80" t="s">
        <v>380</v>
      </c>
      <c r="AV96" s="81">
        <v>92.885000000000005</v>
      </c>
      <c r="AW96" s="82">
        <v>30</v>
      </c>
      <c r="AX96" s="48" t="s">
        <v>471</v>
      </c>
      <c r="AY96" s="48" t="s">
        <v>472</v>
      </c>
      <c r="AZ96" s="49">
        <v>0.58107638888888891</v>
      </c>
      <c r="BA96" s="48" t="s">
        <v>197</v>
      </c>
      <c r="BB96" s="50">
        <v>0.19513888888888889</v>
      </c>
      <c r="BC96" s="51">
        <v>0.92222222222222217</v>
      </c>
      <c r="BD96" s="51">
        <v>0.22222222222222221</v>
      </c>
      <c r="BE96" s="51">
        <v>0.89513888888888893</v>
      </c>
      <c r="BF96" s="51">
        <v>0.24722222222222223</v>
      </c>
      <c r="BG96" s="51">
        <v>0.87013888888888891</v>
      </c>
      <c r="BH96" s="52" t="s">
        <v>473</v>
      </c>
      <c r="BI96" s="60">
        <v>93.659000000000006</v>
      </c>
      <c r="BL96" s="59">
        <v>31</v>
      </c>
      <c r="BM96" s="48" t="s">
        <v>578</v>
      </c>
      <c r="BN96" s="48" t="s">
        <v>579</v>
      </c>
      <c r="BO96" s="49">
        <v>0.62063657407407413</v>
      </c>
      <c r="BP96" s="48" t="s">
        <v>580</v>
      </c>
      <c r="BQ96" s="50">
        <v>0.16458333333333333</v>
      </c>
      <c r="BR96" s="51">
        <v>0.95416666666666661</v>
      </c>
      <c r="BS96" s="51">
        <v>0.19722222222222222</v>
      </c>
      <c r="BT96" s="51">
        <v>0.92083333333333339</v>
      </c>
      <c r="BU96" s="51">
        <v>0.22638888888888889</v>
      </c>
      <c r="BV96" s="51">
        <v>0.89236111111111116</v>
      </c>
      <c r="BW96" s="52" t="s">
        <v>581</v>
      </c>
      <c r="BX96" s="60">
        <v>94.262</v>
      </c>
      <c r="BZ96" s="82">
        <v>30</v>
      </c>
      <c r="CA96" s="48" t="s">
        <v>645</v>
      </c>
      <c r="CB96" s="48" t="s">
        <v>632</v>
      </c>
      <c r="CC96" s="49">
        <v>0.62706018518518525</v>
      </c>
      <c r="CD96" s="48" t="s">
        <v>648</v>
      </c>
      <c r="CE96" s="50">
        <v>0.16250000000000001</v>
      </c>
      <c r="CF96" s="51">
        <v>0.96388888888888891</v>
      </c>
      <c r="CG96" s="51">
        <v>0.19722222222222222</v>
      </c>
      <c r="CH96" s="51">
        <v>0.9291666666666667</v>
      </c>
      <c r="CI96" s="51">
        <v>0.22638888888888889</v>
      </c>
      <c r="CJ96" s="51">
        <v>0.9</v>
      </c>
      <c r="CK96" s="52" t="s">
        <v>649</v>
      </c>
      <c r="CL96" s="60">
        <v>94.509</v>
      </c>
      <c r="CN96" s="59">
        <v>31</v>
      </c>
      <c r="CO96" s="48" t="s">
        <v>754</v>
      </c>
      <c r="CP96" s="48" t="s">
        <v>755</v>
      </c>
      <c r="CQ96" s="49">
        <v>0.59702546296296299</v>
      </c>
      <c r="CR96" s="48" t="s">
        <v>756</v>
      </c>
      <c r="CS96" s="50">
        <v>0.18888888888888888</v>
      </c>
      <c r="CT96" s="51">
        <v>0.93958333333333333</v>
      </c>
      <c r="CU96" s="51">
        <v>0.21805555555555556</v>
      </c>
      <c r="CV96" s="51">
        <v>0.91111111111111109</v>
      </c>
      <c r="CW96" s="51">
        <v>0.24444444444444446</v>
      </c>
      <c r="CX96" s="51">
        <v>0.8847222222222223</v>
      </c>
      <c r="CY96" s="52" t="s">
        <v>757</v>
      </c>
      <c r="CZ96" s="60">
        <v>94.352000000000004</v>
      </c>
      <c r="DB96" s="59">
        <v>31</v>
      </c>
      <c r="DC96" s="48" t="s">
        <v>412</v>
      </c>
      <c r="DD96" s="48" t="s">
        <v>872</v>
      </c>
      <c r="DE96" s="49">
        <v>0.54605324074074069</v>
      </c>
      <c r="DF96" s="48" t="s">
        <v>873</v>
      </c>
      <c r="DG96" s="50">
        <v>0.22013888888888888</v>
      </c>
      <c r="DH96" s="51">
        <v>0.90069444444444446</v>
      </c>
      <c r="DI96" s="51">
        <v>0.24444444444444446</v>
      </c>
      <c r="DJ96" s="51">
        <v>0.87638888888888899</v>
      </c>
      <c r="DK96" s="51">
        <v>0.2673611111111111</v>
      </c>
      <c r="DL96" s="51">
        <v>0.85277777777777775</v>
      </c>
      <c r="DM96" s="52" t="s">
        <v>874</v>
      </c>
      <c r="DN96" s="60">
        <v>93.816999999999993</v>
      </c>
      <c r="DP96" s="82">
        <v>30</v>
      </c>
      <c r="DQ96" s="48" t="s">
        <v>968</v>
      </c>
      <c r="DR96" s="48" t="s">
        <v>969</v>
      </c>
      <c r="DS96" s="49">
        <v>0.4906712962962963</v>
      </c>
      <c r="DT96" s="48" t="s">
        <v>924</v>
      </c>
      <c r="DU96" s="50">
        <v>0.24444444444444446</v>
      </c>
      <c r="DV96" s="51">
        <v>0.8618055555555556</v>
      </c>
      <c r="DW96" s="51">
        <v>0.26666666666666666</v>
      </c>
      <c r="DX96" s="51">
        <v>0.83958333333333324</v>
      </c>
      <c r="DY96" s="51">
        <v>0.28888888888888892</v>
      </c>
      <c r="DZ96" s="51">
        <v>0.81736111111111109</v>
      </c>
      <c r="EA96" s="52" t="s">
        <v>970</v>
      </c>
      <c r="EB96" s="60">
        <v>93.07</v>
      </c>
      <c r="ED96" s="59">
        <v>31</v>
      </c>
      <c r="EE96" s="48" t="s">
        <v>1062</v>
      </c>
      <c r="EF96" s="48" t="s">
        <v>1063</v>
      </c>
      <c r="EG96" s="49">
        <v>0.43524305555555554</v>
      </c>
      <c r="EH96" s="48" t="s">
        <v>821</v>
      </c>
      <c r="EI96" s="50">
        <v>0.26666666666666666</v>
      </c>
      <c r="EJ96" s="51">
        <v>0.8305555555555556</v>
      </c>
      <c r="EK96" s="51">
        <v>0.28888888888888892</v>
      </c>
      <c r="EL96" s="51">
        <v>0.80833333333333324</v>
      </c>
      <c r="EM96" s="51">
        <v>0.31180555555555556</v>
      </c>
      <c r="EN96" s="51">
        <v>0.78611111111111109</v>
      </c>
      <c r="EO96" s="52" t="s">
        <v>1064</v>
      </c>
      <c r="EP96" s="60">
        <v>92.265000000000001</v>
      </c>
      <c r="ER96" s="59">
        <v>30</v>
      </c>
      <c r="ES96" s="48" t="s">
        <v>1162</v>
      </c>
      <c r="ET96" s="48" t="s">
        <v>1163</v>
      </c>
      <c r="EU96" s="49">
        <v>0.39503472222222219</v>
      </c>
      <c r="EV96" s="48" t="s">
        <v>1164</v>
      </c>
      <c r="EW96" s="50">
        <v>0.24583333333333335</v>
      </c>
      <c r="EX96" s="51">
        <v>0.77638888888888891</v>
      </c>
      <c r="EY96" s="51">
        <v>0.26874999999999999</v>
      </c>
      <c r="EZ96" s="51">
        <v>0.75347222222222221</v>
      </c>
      <c r="FA96" s="51">
        <v>0.29236111111111113</v>
      </c>
      <c r="FB96" s="51">
        <v>0.72986111111111107</v>
      </c>
      <c r="FC96" s="52" t="s">
        <v>1165</v>
      </c>
      <c r="FD96" s="60">
        <v>91.665000000000006</v>
      </c>
      <c r="FF96" s="59">
        <v>31</v>
      </c>
      <c r="FG96" s="48" t="s">
        <v>62</v>
      </c>
      <c r="FH96" s="48" t="s">
        <v>63</v>
      </c>
      <c r="FI96" s="49">
        <v>0.3878819444444444</v>
      </c>
      <c r="FJ96" s="48" t="s">
        <v>1247</v>
      </c>
      <c r="FK96" s="50">
        <v>0.2590277777777778</v>
      </c>
      <c r="FL96" s="51">
        <v>0.78333333333333333</v>
      </c>
      <c r="FM96" s="51">
        <v>0.28194444444444444</v>
      </c>
      <c r="FN96" s="51">
        <v>0.76041666666666663</v>
      </c>
      <c r="FO96" s="51">
        <v>0.30555555555555552</v>
      </c>
      <c r="FP96" s="51">
        <v>0.7368055555555556</v>
      </c>
      <c r="FQ96" s="52" t="s">
        <v>1246</v>
      </c>
      <c r="FR96" s="60">
        <v>91.406999999999996</v>
      </c>
    </row>
    <row r="97" spans="1:165" s="73" customFormat="1" ht="15.75" thickBot="1" x14ac:dyDescent="0.3">
      <c r="A97" s="72">
        <f>SUM(A66:A96)</f>
        <v>282</v>
      </c>
      <c r="B97" s="73">
        <f>SUM(B66:B96)</f>
        <v>990</v>
      </c>
      <c r="F97" s="74">
        <f>AVERAGE(F66:F96)</f>
        <v>0.40143555854241336</v>
      </c>
      <c r="U97" s="74">
        <f>AVERAGE(U66:U96)</f>
        <v>0.44470785440613025</v>
      </c>
      <c r="AM97" s="74">
        <f>AVERAGE(AM66:AM96)</f>
        <v>0.50056635802469152</v>
      </c>
      <c r="AZ97" s="74">
        <f>AVERAGE(AZ66:AZ96)</f>
        <v>0.55598611111111096</v>
      </c>
      <c r="BO97" s="74">
        <f>AVERAGE(BO66:BO96)</f>
        <v>0.60354502688172063</v>
      </c>
      <c r="BZ97" s="83"/>
      <c r="CA97" s="83"/>
      <c r="CB97" s="83"/>
      <c r="CC97" s="84">
        <f>AVERAGE(CC66:CC96)</f>
        <v>0.62710493827160485</v>
      </c>
      <c r="CD97" s="83"/>
      <c r="CE97" s="83"/>
      <c r="CF97" s="83"/>
      <c r="CG97" s="83"/>
      <c r="CH97" s="83"/>
      <c r="CI97" s="83"/>
      <c r="CJ97" s="83"/>
      <c r="CK97" s="83"/>
      <c r="CL97" s="83"/>
      <c r="CQ97" s="74">
        <f>AVERAGE(CQ66:CQ96)</f>
        <v>0.61413007765830341</v>
      </c>
      <c r="DE97" s="74">
        <f>AVERAGE(DE66:DE96)</f>
        <v>0.57169952210274799</v>
      </c>
      <c r="DP97" s="83"/>
      <c r="DQ97" s="83"/>
      <c r="DR97" s="83"/>
      <c r="DS97" s="84">
        <f>AVERAGE(DS66:DS96)</f>
        <v>0.51758564814814811</v>
      </c>
      <c r="DT97" s="83"/>
      <c r="DU97" s="83"/>
      <c r="DV97" s="83"/>
      <c r="DW97" s="83"/>
      <c r="DX97" s="83"/>
      <c r="DY97" s="83"/>
      <c r="DZ97" s="83"/>
      <c r="EA97" s="83"/>
      <c r="EB97" s="83"/>
      <c r="EG97" s="74">
        <f>AVERAGE(EG66:EG96)</f>
        <v>0.46155391278375152</v>
      </c>
      <c r="EU97" s="74">
        <f>AVERAGE(EU66:EU96)</f>
        <v>0.41259220679012354</v>
      </c>
      <c r="EV97" s="74"/>
      <c r="FI97" s="74">
        <f>AVERAGE(FI66:FI96)</f>
        <v>0.38771953405017923</v>
      </c>
    </row>
    <row r="98" spans="1:165" s="86" customFormat="1" ht="15.75" thickBot="1" x14ac:dyDescent="0.3">
      <c r="A98" s="85">
        <f>A97*60</f>
        <v>16920</v>
      </c>
      <c r="F98" s="87">
        <f>_xlfn.STDEV.P(F66:F96)</f>
        <v>9.6443410899063539E-3</v>
      </c>
      <c r="U98" s="87">
        <f>_xlfn.STDEV.P(U66:U96)</f>
        <v>1.4487120172309707E-2</v>
      </c>
      <c r="AM98" s="87">
        <f>_xlfn.STDEV.P(AM66:AM96)</f>
        <v>1.6321592739403375E-2</v>
      </c>
      <c r="AW98" s="73"/>
      <c r="AX98" s="73"/>
      <c r="AY98" s="73"/>
      <c r="AZ98" s="74">
        <f>_xlfn.STDEV.P(AZ66:AZ96)</f>
        <v>1.5364251045557048E-2</v>
      </c>
      <c r="BA98" s="73"/>
      <c r="BB98" s="73"/>
      <c r="BC98" s="73"/>
      <c r="BD98" s="73"/>
      <c r="BE98" s="73"/>
      <c r="BF98" s="73"/>
      <c r="BG98" s="73"/>
      <c r="BH98" s="73"/>
      <c r="BI98" s="73"/>
      <c r="BO98" s="87">
        <f>_xlfn.STDEV.P(BO66:BO96)</f>
        <v>1.1439844472405666E-2</v>
      </c>
      <c r="BZ98" s="73"/>
      <c r="CA98" s="73"/>
      <c r="CB98" s="73"/>
      <c r="CC98" s="74">
        <f>_xlfn.STDEV.P(CC66:CC96)</f>
        <v>2.2073790006837618E-3</v>
      </c>
      <c r="CD98" s="73"/>
      <c r="CE98" s="73"/>
      <c r="CF98" s="73"/>
      <c r="CG98" s="73"/>
      <c r="CH98" s="73"/>
      <c r="CI98" s="73"/>
      <c r="CJ98" s="73"/>
      <c r="CK98" s="73"/>
      <c r="CL98" s="73"/>
      <c r="CQ98" s="87">
        <f>_xlfn.STDEV.P(CQ66:CQ96)</f>
        <v>8.9791992363585909E-3</v>
      </c>
      <c r="DE98" s="87">
        <f>_xlfn.STDEV.P(DE66:DE96)</f>
        <v>1.4838178208767556E-2</v>
      </c>
      <c r="DP98" s="73"/>
      <c r="DQ98" s="73"/>
      <c r="DR98" s="73"/>
      <c r="DS98" s="74">
        <f>_xlfn.STDEV.P(DS66:DS96)</f>
        <v>1.6013254850857014E-2</v>
      </c>
      <c r="DT98" s="73"/>
      <c r="DU98" s="73"/>
      <c r="DV98" s="73"/>
      <c r="DW98" s="73"/>
      <c r="DX98" s="73"/>
      <c r="DY98" s="73"/>
      <c r="DZ98" s="73"/>
      <c r="EA98" s="73"/>
      <c r="EB98" s="73"/>
      <c r="EG98" s="87">
        <f>_xlfn.STDEV.P(EG66:EG96)</f>
        <v>1.6021393156489632E-2</v>
      </c>
      <c r="EU98" s="87">
        <f>_xlfn.STDEV.P(EU66:EU96)</f>
        <v>1.1627971529667866E-2</v>
      </c>
      <c r="EV98" s="87"/>
      <c r="FI98" s="87">
        <f>_xlfn.STDEV.P(FI66:FI96)</f>
        <v>2.5008061900349677E-3</v>
      </c>
    </row>
    <row r="99" spans="1:165" x14ac:dyDescent="0.25">
      <c r="F99" s="89"/>
    </row>
    <row r="100" spans="1:165" x14ac:dyDescent="0.25">
      <c r="A100" t="s">
        <v>1253</v>
      </c>
      <c r="B100" s="13">
        <f>A98+B97</f>
        <v>17910</v>
      </c>
      <c r="C100" s="15">
        <f>B100/10</f>
        <v>1791</v>
      </c>
    </row>
    <row r="112" spans="1:165" x14ac:dyDescent="0.25">
      <c r="U112">
        <f>V117/S117</f>
        <v>0.51701965155643625</v>
      </c>
      <c r="V112">
        <f>X117/S117</f>
        <v>0.48298034844356369</v>
      </c>
    </row>
    <row r="113" spans="5:32" x14ac:dyDescent="0.25">
      <c r="W113">
        <f>SUM(O141:P141)</f>
        <v>1</v>
      </c>
    </row>
    <row r="115" spans="5:32" ht="30.75" thickBot="1" x14ac:dyDescent="0.3">
      <c r="S115" t="s">
        <v>1295</v>
      </c>
      <c r="U115" s="108" t="s">
        <v>1283</v>
      </c>
      <c r="V115" t="s">
        <v>1295</v>
      </c>
      <c r="W115" s="108" t="s">
        <v>1283</v>
      </c>
      <c r="X115" t="s">
        <v>1295</v>
      </c>
      <c r="Y115" s="108" t="s">
        <v>1283</v>
      </c>
    </row>
    <row r="116" spans="5:32" x14ac:dyDescent="0.25">
      <c r="E116" s="144" t="s">
        <v>1333</v>
      </c>
      <c r="F116" s="145"/>
      <c r="G116" s="145"/>
      <c r="H116" s="146"/>
      <c r="S116" s="147" t="s">
        <v>1272</v>
      </c>
      <c r="T116" s="147"/>
      <c r="U116" s="147"/>
      <c r="V116" s="147" t="s">
        <v>1294</v>
      </c>
      <c r="W116" s="147"/>
      <c r="X116" s="147" t="s">
        <v>1329</v>
      </c>
      <c r="Y116" s="147"/>
    </row>
    <row r="117" spans="5:32" x14ac:dyDescent="0.25">
      <c r="E117" s="2"/>
      <c r="F117" s="124" t="s">
        <v>1324</v>
      </c>
      <c r="G117" s="124" t="s">
        <v>1325</v>
      </c>
      <c r="H117" s="126" t="s">
        <v>1326</v>
      </c>
      <c r="R117" t="s">
        <v>1284</v>
      </c>
      <c r="S117" s="13">
        <v>193776</v>
      </c>
      <c r="T117" s="13"/>
      <c r="U117" s="13">
        <v>122</v>
      </c>
      <c r="V117" s="13">
        <v>100186</v>
      </c>
      <c r="W117" s="13">
        <v>2988</v>
      </c>
      <c r="X117" s="13">
        <v>93590</v>
      </c>
      <c r="Y117" s="13">
        <v>2993</v>
      </c>
    </row>
    <row r="118" spans="5:32" x14ac:dyDescent="0.25">
      <c r="E118" s="142" t="s">
        <v>1332</v>
      </c>
      <c r="F118" s="124" t="s">
        <v>1330</v>
      </c>
      <c r="G118" s="148" t="s">
        <v>1331</v>
      </c>
      <c r="H118" s="150" t="s">
        <v>1331</v>
      </c>
      <c r="R118" t="s">
        <v>1285</v>
      </c>
      <c r="AB118" s="109"/>
      <c r="AD118" s="109"/>
      <c r="AF118" s="109"/>
    </row>
    <row r="119" spans="5:32" ht="15.75" thickBot="1" x14ac:dyDescent="0.3">
      <c r="E119" s="143"/>
      <c r="F119" s="125" t="s">
        <v>1331</v>
      </c>
      <c r="G119" s="149"/>
      <c r="H119" s="151"/>
      <c r="R119" t="s">
        <v>1286</v>
      </c>
      <c r="S119" s="110">
        <v>5.5999999999999994E-2</v>
      </c>
      <c r="T119" s="13">
        <f>$S$117*S119</f>
        <v>10851.455999999998</v>
      </c>
      <c r="U119">
        <v>0.8</v>
      </c>
      <c r="V119" s="109">
        <v>5.7000000000000002E-2</v>
      </c>
      <c r="W119">
        <v>1.1000000000000001</v>
      </c>
      <c r="X119" s="109">
        <v>5.5999999999999994E-2</v>
      </c>
      <c r="Y119">
        <v>1.1000000000000001</v>
      </c>
      <c r="AB119" s="109"/>
      <c r="AD119" s="109"/>
      <c r="AF119" s="109"/>
    </row>
    <row r="120" spans="5:32" x14ac:dyDescent="0.25">
      <c r="R120" t="s">
        <v>1287</v>
      </c>
      <c r="S120" s="110">
        <v>5.9000000000000004E-2</v>
      </c>
      <c r="T120" s="13">
        <f t="shared" ref="T120:T136" si="26">$S$117*S120</f>
        <v>11432.784000000001</v>
      </c>
      <c r="U120">
        <v>0.9</v>
      </c>
      <c r="V120" s="109">
        <v>5.5E-2</v>
      </c>
      <c r="W120">
        <v>1.1000000000000001</v>
      </c>
      <c r="X120" s="109">
        <v>6.3E-2</v>
      </c>
      <c r="Y120">
        <v>1.4</v>
      </c>
      <c r="AB120" s="109"/>
      <c r="AD120" s="109"/>
      <c r="AF120" s="109"/>
    </row>
    <row r="121" spans="5:32" x14ac:dyDescent="0.25">
      <c r="R121" t="s">
        <v>1288</v>
      </c>
      <c r="S121" s="110">
        <v>6.5000000000000002E-2</v>
      </c>
      <c r="T121" s="13">
        <f t="shared" si="26"/>
        <v>12595.44</v>
      </c>
      <c r="U121">
        <v>1</v>
      </c>
      <c r="V121" s="109">
        <v>5.4000000000000006E-2</v>
      </c>
      <c r="W121">
        <v>1.1000000000000001</v>
      </c>
      <c r="X121" s="109">
        <v>7.5999999999999998E-2</v>
      </c>
      <c r="Y121">
        <v>1.7</v>
      </c>
      <c r="AB121" s="109"/>
      <c r="AD121" s="109"/>
      <c r="AF121" s="109"/>
    </row>
    <row r="122" spans="5:32" x14ac:dyDescent="0.25">
      <c r="R122" t="s">
        <v>1289</v>
      </c>
      <c r="S122" s="110">
        <v>5.5999999999999994E-2</v>
      </c>
      <c r="T122" s="13">
        <f t="shared" si="26"/>
        <v>10851.455999999998</v>
      </c>
      <c r="U122">
        <v>0.8</v>
      </c>
      <c r="V122" s="109">
        <v>5.5E-2</v>
      </c>
      <c r="W122">
        <v>1.2</v>
      </c>
      <c r="X122" s="109">
        <v>5.5999999999999994E-2</v>
      </c>
      <c r="Y122">
        <v>1.2</v>
      </c>
      <c r="AB122" s="109"/>
      <c r="AD122" s="109"/>
      <c r="AF122" s="109"/>
    </row>
    <row r="123" spans="5:32" x14ac:dyDescent="0.25">
      <c r="R123" t="s">
        <v>1273</v>
      </c>
      <c r="S123" s="110">
        <v>9.5000000000000001E-2</v>
      </c>
      <c r="T123" s="13">
        <f t="shared" si="26"/>
        <v>18408.72</v>
      </c>
      <c r="U123">
        <v>1.4</v>
      </c>
      <c r="V123" s="109">
        <v>0.10800000000000001</v>
      </c>
      <c r="W123">
        <v>1.9</v>
      </c>
      <c r="X123" s="109">
        <v>0.08</v>
      </c>
      <c r="Y123">
        <v>1.9</v>
      </c>
      <c r="AB123" s="109"/>
      <c r="AD123" s="109"/>
      <c r="AF123" s="109"/>
    </row>
    <row r="124" spans="5:32" x14ac:dyDescent="0.25">
      <c r="R124" t="s">
        <v>1274</v>
      </c>
      <c r="S124" s="110">
        <v>0.115</v>
      </c>
      <c r="T124" s="13">
        <f t="shared" si="26"/>
        <v>22284.240000000002</v>
      </c>
      <c r="U124">
        <v>1.3</v>
      </c>
      <c r="V124" s="109">
        <v>0.12</v>
      </c>
      <c r="W124">
        <v>1.7</v>
      </c>
      <c r="X124" s="109">
        <v>0.11</v>
      </c>
      <c r="Y124">
        <v>1.5</v>
      </c>
      <c r="AB124" s="109"/>
      <c r="AD124" s="109"/>
      <c r="AF124" s="109"/>
    </row>
    <row r="125" spans="5:32" x14ac:dyDescent="0.25">
      <c r="R125" t="s">
        <v>1275</v>
      </c>
      <c r="S125" s="110">
        <v>9.6000000000000002E-2</v>
      </c>
      <c r="T125" s="13">
        <f t="shared" si="26"/>
        <v>18602.495999999999</v>
      </c>
      <c r="U125">
        <v>1.1000000000000001</v>
      </c>
      <c r="V125" s="109">
        <v>0.105</v>
      </c>
      <c r="W125">
        <v>1.4</v>
      </c>
      <c r="X125" s="109">
        <v>8.5999999999999993E-2</v>
      </c>
      <c r="Y125">
        <v>1.4</v>
      </c>
      <c r="AB125" s="109"/>
      <c r="AD125" s="109"/>
      <c r="AF125" s="109"/>
    </row>
    <row r="126" spans="5:32" x14ac:dyDescent="0.25">
      <c r="R126" t="s">
        <v>1290</v>
      </c>
      <c r="S126" s="110">
        <v>0.09</v>
      </c>
      <c r="T126" s="13">
        <f t="shared" si="26"/>
        <v>17439.84</v>
      </c>
      <c r="U126">
        <v>1.4</v>
      </c>
      <c r="V126" s="109">
        <v>9.3000000000000013E-2</v>
      </c>
      <c r="W126">
        <v>1.6</v>
      </c>
      <c r="X126" s="109">
        <v>8.6999999999999994E-2</v>
      </c>
      <c r="Y126">
        <v>1.7</v>
      </c>
      <c r="AB126" s="109"/>
      <c r="AD126" s="109"/>
      <c r="AF126" s="109"/>
    </row>
    <row r="127" spans="5:32" x14ac:dyDescent="0.25">
      <c r="R127" t="s">
        <v>1291</v>
      </c>
      <c r="S127" s="110">
        <v>5.5E-2</v>
      </c>
      <c r="T127" s="13">
        <f t="shared" si="26"/>
        <v>10657.68</v>
      </c>
      <c r="U127">
        <v>0.9</v>
      </c>
      <c r="V127" s="109">
        <v>5.7999999999999996E-2</v>
      </c>
      <c r="W127">
        <v>1.2</v>
      </c>
      <c r="X127" s="109">
        <v>5.2999999999999999E-2</v>
      </c>
      <c r="Y127">
        <v>1.2</v>
      </c>
      <c r="AB127" s="109"/>
      <c r="AD127" s="109"/>
      <c r="AF127" s="109"/>
    </row>
    <row r="128" spans="5:32" x14ac:dyDescent="0.25">
      <c r="R128" t="s">
        <v>1292</v>
      </c>
      <c r="S128" s="110">
        <v>4.9000000000000002E-2</v>
      </c>
      <c r="T128" s="13">
        <f t="shared" si="26"/>
        <v>9495.0240000000013</v>
      </c>
      <c r="U128">
        <v>0.8</v>
      </c>
      <c r="V128" s="109">
        <v>0.05</v>
      </c>
      <c r="W128">
        <v>1.2</v>
      </c>
      <c r="X128" s="109">
        <v>4.9000000000000002E-2</v>
      </c>
      <c r="Y128">
        <v>1.1000000000000001</v>
      </c>
      <c r="AB128" s="109"/>
      <c r="AD128" s="109"/>
      <c r="AF128" s="109"/>
    </row>
    <row r="129" spans="14:134" x14ac:dyDescent="0.25">
      <c r="R129" t="s">
        <v>1293</v>
      </c>
      <c r="S129" s="110">
        <v>5.0999999999999997E-2</v>
      </c>
      <c r="T129" s="13">
        <f t="shared" si="26"/>
        <v>9882.5759999999991</v>
      </c>
      <c r="U129">
        <v>1</v>
      </c>
      <c r="V129" s="109">
        <v>5.2999999999999999E-2</v>
      </c>
      <c r="W129">
        <v>1.3</v>
      </c>
      <c r="X129" s="109">
        <v>4.9000000000000002E-2</v>
      </c>
      <c r="Y129">
        <v>1.1000000000000001</v>
      </c>
      <c r="AB129" s="109"/>
      <c r="AD129" s="109"/>
      <c r="AF129" s="109"/>
    </row>
    <row r="130" spans="14:134" x14ac:dyDescent="0.25">
      <c r="R130" t="s">
        <v>1276</v>
      </c>
      <c r="S130" s="110">
        <v>5.2999999999999999E-2</v>
      </c>
      <c r="T130" s="13">
        <v>10270</v>
      </c>
      <c r="U130">
        <v>0.7</v>
      </c>
      <c r="V130" s="109">
        <v>4.8000000000000001E-2</v>
      </c>
      <c r="W130">
        <v>1.1000000000000001</v>
      </c>
      <c r="X130" s="109">
        <v>5.9000000000000004E-2</v>
      </c>
      <c r="Y130">
        <v>1.1000000000000001</v>
      </c>
      <c r="AB130" s="109"/>
      <c r="AD130" s="109"/>
      <c r="AF130" s="109"/>
    </row>
    <row r="131" spans="14:134" x14ac:dyDescent="0.25">
      <c r="R131" t="s">
        <v>1277</v>
      </c>
      <c r="S131" s="110">
        <v>5.5E-2</v>
      </c>
      <c r="T131" s="13">
        <f t="shared" si="26"/>
        <v>10657.68</v>
      </c>
      <c r="U131">
        <v>0.9</v>
      </c>
      <c r="V131" s="109">
        <v>4.5999999999999999E-2</v>
      </c>
      <c r="W131">
        <v>1</v>
      </c>
      <c r="X131" s="109">
        <v>6.5000000000000002E-2</v>
      </c>
      <c r="Y131">
        <v>1.2</v>
      </c>
      <c r="AB131" s="109"/>
      <c r="AD131" s="109"/>
      <c r="AF131" s="109"/>
    </row>
    <row r="132" spans="14:134" x14ac:dyDescent="0.25">
      <c r="R132" t="s">
        <v>1278</v>
      </c>
      <c r="S132" s="110">
        <v>0.04</v>
      </c>
      <c r="T132" s="13">
        <f t="shared" si="26"/>
        <v>7751.04</v>
      </c>
      <c r="U132">
        <v>0.7</v>
      </c>
      <c r="V132" s="109">
        <v>4.2999999999999997E-2</v>
      </c>
      <c r="W132">
        <v>0.9</v>
      </c>
      <c r="X132" s="109">
        <v>3.6000000000000004E-2</v>
      </c>
      <c r="Y132">
        <v>0.9</v>
      </c>
      <c r="AB132" s="109"/>
      <c r="AD132" s="109"/>
      <c r="AF132" s="109"/>
    </row>
    <row r="133" spans="14:134" x14ac:dyDescent="0.25">
      <c r="R133" t="s">
        <v>1279</v>
      </c>
      <c r="S133" s="110">
        <v>1.8000000000000002E-2</v>
      </c>
      <c r="T133" s="13">
        <f t="shared" si="26"/>
        <v>3487.9680000000003</v>
      </c>
      <c r="U133">
        <v>0.4</v>
      </c>
      <c r="V133" s="109">
        <v>1.6E-2</v>
      </c>
      <c r="W133">
        <v>0.5</v>
      </c>
      <c r="X133" s="109">
        <v>2.1000000000000001E-2</v>
      </c>
      <c r="Y133">
        <v>0.7</v>
      </c>
      <c r="AB133" s="109"/>
      <c r="AD133" s="109"/>
      <c r="AF133" s="109"/>
    </row>
    <row r="134" spans="14:134" x14ac:dyDescent="0.25">
      <c r="R134" t="s">
        <v>1280</v>
      </c>
      <c r="S134" s="110">
        <v>1.9E-2</v>
      </c>
      <c r="T134" s="13">
        <f t="shared" si="26"/>
        <v>3681.7439999999997</v>
      </c>
      <c r="U134">
        <v>0.5</v>
      </c>
      <c r="V134" s="109">
        <v>1.8000000000000002E-2</v>
      </c>
      <c r="W134">
        <v>0.5</v>
      </c>
      <c r="X134" s="109">
        <v>0.02</v>
      </c>
      <c r="Y134">
        <v>0.7</v>
      </c>
      <c r="AB134" s="109"/>
      <c r="AD134" s="109"/>
      <c r="AF134" s="109"/>
    </row>
    <row r="135" spans="14:134" ht="15.75" thickBot="1" x14ac:dyDescent="0.3">
      <c r="R135" t="s">
        <v>1281</v>
      </c>
      <c r="S135" s="110">
        <v>1.3999999999999999E-2</v>
      </c>
      <c r="T135" s="13">
        <f t="shared" si="26"/>
        <v>2712.8639999999996</v>
      </c>
      <c r="U135">
        <v>0.5</v>
      </c>
      <c r="V135" s="109">
        <v>0.01</v>
      </c>
      <c r="W135">
        <v>0.4</v>
      </c>
      <c r="X135" s="109">
        <v>1.7000000000000001E-2</v>
      </c>
      <c r="Y135">
        <v>0.9</v>
      </c>
    </row>
    <row r="136" spans="14:134" ht="15.75" thickBot="1" x14ac:dyDescent="0.3">
      <c r="R136" t="s">
        <v>1282</v>
      </c>
      <c r="S136" s="110">
        <v>1.3999999999999999E-2</v>
      </c>
      <c r="T136" s="13">
        <f t="shared" si="26"/>
        <v>2712.8639999999996</v>
      </c>
      <c r="U136">
        <v>0.4</v>
      </c>
      <c r="V136" s="109">
        <v>1.2E-2</v>
      </c>
      <c r="W136">
        <v>0.5</v>
      </c>
      <c r="X136" s="109">
        <v>1.7000000000000001E-2</v>
      </c>
      <c r="Y136">
        <v>0.5</v>
      </c>
      <c r="ED136" s="73"/>
    </row>
    <row r="137" spans="14:134" x14ac:dyDescent="0.25">
      <c r="T137" s="15">
        <f>SUM(T129:T136)</f>
        <v>51156.736000000004</v>
      </c>
    </row>
    <row r="138" spans="14:134" x14ac:dyDescent="0.25">
      <c r="T138" s="15"/>
    </row>
    <row r="139" spans="14:134" x14ac:dyDescent="0.25">
      <c r="U139" t="s">
        <v>1294</v>
      </c>
      <c r="V139" s="15">
        <v>4783</v>
      </c>
      <c r="X139" s="128">
        <v>4810</v>
      </c>
      <c r="Y139">
        <v>27</v>
      </c>
      <c r="Z139">
        <f>X139-Y139</f>
        <v>4783</v>
      </c>
    </row>
    <row r="140" spans="14:134" x14ac:dyDescent="0.25">
      <c r="O140" t="s">
        <v>1294</v>
      </c>
      <c r="P140" t="s">
        <v>1329</v>
      </c>
      <c r="U140" t="s">
        <v>1338</v>
      </c>
      <c r="V140" s="15">
        <v>5487</v>
      </c>
      <c r="X140" s="128">
        <v>5522</v>
      </c>
      <c r="Y140">
        <v>35</v>
      </c>
      <c r="Z140">
        <f>X140-Y140</f>
        <v>5487</v>
      </c>
    </row>
    <row r="141" spans="14:134" x14ac:dyDescent="0.25">
      <c r="O141">
        <v>0.52</v>
      </c>
      <c r="P141">
        <v>0.48</v>
      </c>
      <c r="V141" s="15">
        <f>SUM(V139:V140)</f>
        <v>10270</v>
      </c>
      <c r="W141" t="b">
        <f>V141=T130</f>
        <v>1</v>
      </c>
      <c r="X141">
        <f>SUM(X139:X140)</f>
        <v>10332</v>
      </c>
      <c r="Z141">
        <f>SUM(Z139:Z140)</f>
        <v>10270</v>
      </c>
    </row>
    <row r="142" spans="14:134" x14ac:dyDescent="0.25">
      <c r="N142" s="13"/>
      <c r="T142" s="106"/>
      <c r="X142" s="15"/>
    </row>
    <row r="143" spans="14:134" x14ac:dyDescent="0.25">
      <c r="N143" s="13">
        <v>9882.5759999999991</v>
      </c>
      <c r="T143" s="106"/>
      <c r="X143" s="15"/>
    </row>
    <row r="144" spans="14:134" x14ac:dyDescent="0.25">
      <c r="N144" s="13">
        <v>10270</v>
      </c>
      <c r="T144" s="106"/>
      <c r="X144" s="15"/>
    </row>
    <row r="145" spans="14:20" x14ac:dyDescent="0.25">
      <c r="N145" s="13">
        <v>10657.68</v>
      </c>
      <c r="T145" s="106"/>
    </row>
    <row r="146" spans="14:20" x14ac:dyDescent="0.25">
      <c r="N146" s="13">
        <v>7751.04</v>
      </c>
      <c r="T146" s="106"/>
    </row>
    <row r="147" spans="14:20" x14ac:dyDescent="0.25">
      <c r="N147">
        <v>3487.9680000000003</v>
      </c>
      <c r="T147" s="106"/>
    </row>
    <row r="148" spans="14:20" x14ac:dyDescent="0.25">
      <c r="N148" s="15">
        <f>SUM(N143:N147)</f>
        <v>42049.264000000003</v>
      </c>
      <c r="O148" s="15">
        <f>ROUND($N$148*O141,-1)</f>
        <v>21870</v>
      </c>
      <c r="P148" s="15">
        <f>ROUND($N$148*P141,-1)</f>
        <v>20180</v>
      </c>
      <c r="Q148" s="15">
        <f>SUM(O148:P148)</f>
        <v>42050</v>
      </c>
      <c r="T148" s="106"/>
    </row>
    <row r="149" spans="14:20" x14ac:dyDescent="0.25">
      <c r="T149" s="106"/>
    </row>
    <row r="150" spans="14:20" x14ac:dyDescent="0.25">
      <c r="T150" s="106"/>
    </row>
    <row r="151" spans="14:20" x14ac:dyDescent="0.25">
      <c r="T151" s="106"/>
    </row>
    <row r="152" spans="14:20" x14ac:dyDescent="0.25">
      <c r="T152" s="106"/>
    </row>
    <row r="153" spans="14:20" x14ac:dyDescent="0.25">
      <c r="T153" s="106"/>
    </row>
    <row r="154" spans="14:20" x14ac:dyDescent="0.25">
      <c r="T154" s="106"/>
    </row>
    <row r="155" spans="14:20" x14ac:dyDescent="0.25">
      <c r="T155" s="106"/>
    </row>
    <row r="156" spans="14:20" x14ac:dyDescent="0.25">
      <c r="T156" s="106"/>
    </row>
    <row r="157" spans="14:20" x14ac:dyDescent="0.25">
      <c r="T157" s="106"/>
    </row>
    <row r="158" spans="14:20" x14ac:dyDescent="0.25">
      <c r="T158" s="106"/>
    </row>
    <row r="159" spans="14:20" x14ac:dyDescent="0.25">
      <c r="T159" s="106"/>
    </row>
  </sheetData>
  <mergeCells count="242">
    <mergeCell ref="C64:C65"/>
    <mergeCell ref="D64:D65"/>
    <mergeCell ref="E64:E65"/>
    <mergeCell ref="F64:F65"/>
    <mergeCell ref="G64:G65"/>
    <mergeCell ref="E3:V3"/>
    <mergeCell ref="D63:E63"/>
    <mergeCell ref="F63:G63"/>
    <mergeCell ref="H63:I63"/>
    <mergeCell ref="J63:K63"/>
    <mergeCell ref="L63:M63"/>
    <mergeCell ref="N63:O63"/>
    <mergeCell ref="C62:O62"/>
    <mergeCell ref="M64:M65"/>
    <mergeCell ref="N64:N65"/>
    <mergeCell ref="O64:O65"/>
    <mergeCell ref="S65:T65"/>
    <mergeCell ref="U65:V65"/>
    <mergeCell ref="H64:H65"/>
    <mergeCell ref="I64:I65"/>
    <mergeCell ref="J64:J65"/>
    <mergeCell ref="K64:K65"/>
    <mergeCell ref="L64:L65"/>
    <mergeCell ref="AH66:AH67"/>
    <mergeCell ref="AK62:AL62"/>
    <mergeCell ref="AM62:AN62"/>
    <mergeCell ref="AO62:AP62"/>
    <mergeCell ref="AQ62:AR62"/>
    <mergeCell ref="Q62:AH62"/>
    <mergeCell ref="W65:X65"/>
    <mergeCell ref="Y65:Z65"/>
    <mergeCell ref="AA65:AB65"/>
    <mergeCell ref="AC65:AH65"/>
    <mergeCell ref="Q66:Q67"/>
    <mergeCell ref="S66:S67"/>
    <mergeCell ref="T66:T67"/>
    <mergeCell ref="U66:U67"/>
    <mergeCell ref="V66:V67"/>
    <mergeCell ref="W66:W67"/>
    <mergeCell ref="X66:X67"/>
    <mergeCell ref="Y66:Y67"/>
    <mergeCell ref="Z66:Z67"/>
    <mergeCell ref="AA66:AA67"/>
    <mergeCell ref="AB66:AB67"/>
    <mergeCell ref="AC66:AC67"/>
    <mergeCell ref="AJ77:AV77"/>
    <mergeCell ref="AX64:AY64"/>
    <mergeCell ref="AZ64:BA64"/>
    <mergeCell ref="BB64:BC64"/>
    <mergeCell ref="BD64:BE64"/>
    <mergeCell ref="AS62:AT62"/>
    <mergeCell ref="AU62:AV62"/>
    <mergeCell ref="AJ63:AJ64"/>
    <mergeCell ref="AK63:AK64"/>
    <mergeCell ref="AL63:AL64"/>
    <mergeCell ref="AM63:AM64"/>
    <mergeCell ref="AN63:AN64"/>
    <mergeCell ref="AO63:AO64"/>
    <mergeCell ref="AP63:AP64"/>
    <mergeCell ref="AQ63:AQ64"/>
    <mergeCell ref="AR63:AR64"/>
    <mergeCell ref="AS63:AS64"/>
    <mergeCell ref="AT63:AT64"/>
    <mergeCell ref="AU63:AU64"/>
    <mergeCell ref="AV63:AV64"/>
    <mergeCell ref="BW63:BX63"/>
    <mergeCell ref="BL64:BL65"/>
    <mergeCell ref="BM64:BM65"/>
    <mergeCell ref="BN64:BN65"/>
    <mergeCell ref="BO64:BO65"/>
    <mergeCell ref="BP64:BP65"/>
    <mergeCell ref="BQ64:BQ65"/>
    <mergeCell ref="BR64:BR65"/>
    <mergeCell ref="BS64:BS65"/>
    <mergeCell ref="BT64:BT65"/>
    <mergeCell ref="BU64:BU65"/>
    <mergeCell ref="BV64:BV65"/>
    <mergeCell ref="BW64:BW65"/>
    <mergeCell ref="BX64:BX65"/>
    <mergeCell ref="BM63:BN63"/>
    <mergeCell ref="BO63:BP63"/>
    <mergeCell ref="BQ63:BR63"/>
    <mergeCell ref="BS63:BT63"/>
    <mergeCell ref="BU63:BV63"/>
    <mergeCell ref="CK64:CL64"/>
    <mergeCell ref="BZ65:BZ66"/>
    <mergeCell ref="CA65:CA66"/>
    <mergeCell ref="CB65:CB66"/>
    <mergeCell ref="CC65:CC66"/>
    <mergeCell ref="CD65:CD66"/>
    <mergeCell ref="CE65:CE66"/>
    <mergeCell ref="CF65:CF66"/>
    <mergeCell ref="CG65:CG66"/>
    <mergeCell ref="CH65:CH66"/>
    <mergeCell ref="CI65:CI66"/>
    <mergeCell ref="CJ65:CJ66"/>
    <mergeCell ref="CK65:CK66"/>
    <mergeCell ref="CL65:CL66"/>
    <mergeCell ref="CA64:CB64"/>
    <mergeCell ref="CC64:CD64"/>
    <mergeCell ref="CE64:CF64"/>
    <mergeCell ref="CG64:CH64"/>
    <mergeCell ref="CI64:CJ64"/>
    <mergeCell ref="CY63:CZ63"/>
    <mergeCell ref="CN64:CN65"/>
    <mergeCell ref="CO64:CO65"/>
    <mergeCell ref="CP64:CP65"/>
    <mergeCell ref="CQ64:CQ65"/>
    <mergeCell ref="CR64:CR65"/>
    <mergeCell ref="CS64:CS65"/>
    <mergeCell ref="CT64:CT65"/>
    <mergeCell ref="CU64:CU65"/>
    <mergeCell ref="CV64:CV65"/>
    <mergeCell ref="CW64:CW65"/>
    <mergeCell ref="CX64:CX65"/>
    <mergeCell ref="CY64:CY65"/>
    <mergeCell ref="CZ64:CZ65"/>
    <mergeCell ref="CO63:CP63"/>
    <mergeCell ref="CQ63:CR63"/>
    <mergeCell ref="CS63:CT63"/>
    <mergeCell ref="CU63:CV63"/>
    <mergeCell ref="CW63:CX63"/>
    <mergeCell ref="DM63:DN63"/>
    <mergeCell ref="DB64:DB65"/>
    <mergeCell ref="DC64:DC65"/>
    <mergeCell ref="DD64:DD65"/>
    <mergeCell ref="DE64:DE65"/>
    <mergeCell ref="DF64:DF65"/>
    <mergeCell ref="DG64:DG65"/>
    <mergeCell ref="DH64:DH65"/>
    <mergeCell ref="DI64:DI65"/>
    <mergeCell ref="DJ64:DJ65"/>
    <mergeCell ref="DK64:DK65"/>
    <mergeCell ref="DL64:DL65"/>
    <mergeCell ref="DM64:DM65"/>
    <mergeCell ref="DN64:DN65"/>
    <mergeCell ref="DC63:DD63"/>
    <mergeCell ref="DE63:DF63"/>
    <mergeCell ref="DG63:DH63"/>
    <mergeCell ref="DI63:DJ63"/>
    <mergeCell ref="DK63:DL63"/>
    <mergeCell ref="EA64:EB64"/>
    <mergeCell ref="DP65:DP66"/>
    <mergeCell ref="DQ65:DQ66"/>
    <mergeCell ref="DR65:DR66"/>
    <mergeCell ref="DS65:DS66"/>
    <mergeCell ref="DT65:DT66"/>
    <mergeCell ref="DU65:DU66"/>
    <mergeCell ref="DV65:DV66"/>
    <mergeCell ref="DW65:DW66"/>
    <mergeCell ref="DX65:DX66"/>
    <mergeCell ref="DY65:DY66"/>
    <mergeCell ref="DZ65:DZ66"/>
    <mergeCell ref="EA65:EA66"/>
    <mergeCell ref="EB65:EB66"/>
    <mergeCell ref="DQ64:DR64"/>
    <mergeCell ref="DS64:DT64"/>
    <mergeCell ref="DU64:DV64"/>
    <mergeCell ref="DW64:DX64"/>
    <mergeCell ref="DY64:DZ64"/>
    <mergeCell ref="EO63:EP63"/>
    <mergeCell ref="ED64:ED65"/>
    <mergeCell ref="EE64:EE65"/>
    <mergeCell ref="EF64:EF65"/>
    <mergeCell ref="EG64:EG65"/>
    <mergeCell ref="EH64:EH65"/>
    <mergeCell ref="EI64:EI65"/>
    <mergeCell ref="EJ64:EJ65"/>
    <mergeCell ref="EK64:EK65"/>
    <mergeCell ref="EL64:EL65"/>
    <mergeCell ref="EM64:EM65"/>
    <mergeCell ref="EN64:EN65"/>
    <mergeCell ref="EO64:EO65"/>
    <mergeCell ref="EP64:EP65"/>
    <mergeCell ref="EE63:EF63"/>
    <mergeCell ref="EG63:EH63"/>
    <mergeCell ref="EI63:EJ63"/>
    <mergeCell ref="EK63:EL63"/>
    <mergeCell ref="EM63:EN63"/>
    <mergeCell ref="ER71:FD71"/>
    <mergeCell ref="FG63:FH63"/>
    <mergeCell ref="FI63:FJ63"/>
    <mergeCell ref="FK63:FL63"/>
    <mergeCell ref="FM63:FN63"/>
    <mergeCell ref="FC63:FD63"/>
    <mergeCell ref="ER64:ER65"/>
    <mergeCell ref="ES64:ES65"/>
    <mergeCell ref="ET64:ET65"/>
    <mergeCell ref="EU64:EU65"/>
    <mergeCell ref="EV64:EV65"/>
    <mergeCell ref="EW64:EW65"/>
    <mergeCell ref="EX64:EX65"/>
    <mergeCell ref="EY64:EY65"/>
    <mergeCell ref="EZ64:EZ65"/>
    <mergeCell ref="FA64:FA65"/>
    <mergeCell ref="FB64:FB65"/>
    <mergeCell ref="FC64:FC65"/>
    <mergeCell ref="FD64:FD65"/>
    <mergeCell ref="ES63:ET63"/>
    <mergeCell ref="EU63:EV63"/>
    <mergeCell ref="EW63:EX63"/>
    <mergeCell ref="EY63:EZ63"/>
    <mergeCell ref="FA63:FB63"/>
    <mergeCell ref="FO63:FP63"/>
    <mergeCell ref="FQ63:FR63"/>
    <mergeCell ref="FF64:FF65"/>
    <mergeCell ref="FG64:FG65"/>
    <mergeCell ref="FH64:FH65"/>
    <mergeCell ref="FI64:FI65"/>
    <mergeCell ref="FJ64:FJ65"/>
    <mergeCell ref="FK64:FK65"/>
    <mergeCell ref="FL64:FL65"/>
    <mergeCell ref="FM64:FM65"/>
    <mergeCell ref="FN64:FN65"/>
    <mergeCell ref="FO64:FO65"/>
    <mergeCell ref="FP64:FP65"/>
    <mergeCell ref="FQ64:FQ65"/>
    <mergeCell ref="FR64:FR65"/>
    <mergeCell ref="E118:E119"/>
    <mergeCell ref="E116:H116"/>
    <mergeCell ref="S116:U116"/>
    <mergeCell ref="V116:W116"/>
    <mergeCell ref="G118:G119"/>
    <mergeCell ref="H118:H119"/>
    <mergeCell ref="AJ61:AV61"/>
    <mergeCell ref="AW61:BI61"/>
    <mergeCell ref="X116:Y116"/>
    <mergeCell ref="BF64:BG64"/>
    <mergeCell ref="BH64:BI64"/>
    <mergeCell ref="AW65:AW66"/>
    <mergeCell ref="AX65:AX66"/>
    <mergeCell ref="AY65:AY66"/>
    <mergeCell ref="AZ65:AZ66"/>
    <mergeCell ref="BA65:BA66"/>
    <mergeCell ref="BB65:BB66"/>
    <mergeCell ref="BC65:BC66"/>
    <mergeCell ref="BD65:BD66"/>
    <mergeCell ref="BE65:BE66"/>
    <mergeCell ref="BF65:BF66"/>
    <mergeCell ref="BG65:BG66"/>
    <mergeCell ref="BH65:BH66"/>
    <mergeCell ref="BI65:BI66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AF06-D555-4205-B28C-92D65D6C1013}">
  <dimension ref="B2:BR57"/>
  <sheetViews>
    <sheetView zoomScaleNormal="100" workbookViewId="0">
      <selection activeCell="T22" sqref="T22"/>
    </sheetView>
  </sheetViews>
  <sheetFormatPr defaultRowHeight="15" x14ac:dyDescent="0.25"/>
  <cols>
    <col min="2" max="2" width="14.28515625" bestFit="1" customWidth="1"/>
    <col min="3" max="3" width="3.85546875" bestFit="1" customWidth="1"/>
    <col min="4" max="4" width="23.7109375" customWidth="1"/>
    <col min="5" max="5" width="19.7109375" bestFit="1" customWidth="1"/>
    <col min="6" max="6" width="14.28515625" bestFit="1" customWidth="1"/>
    <col min="7" max="7" width="14.85546875" bestFit="1" customWidth="1"/>
    <col min="8" max="8" width="12.140625" bestFit="1" customWidth="1"/>
    <col min="9" max="9" width="20.28515625" bestFit="1" customWidth="1"/>
    <col min="10" max="10" width="15" bestFit="1" customWidth="1"/>
    <col min="11" max="11" width="14.85546875" bestFit="1" customWidth="1"/>
    <col min="12" max="12" width="15.140625" bestFit="1" customWidth="1"/>
    <col min="13" max="13" width="15.42578125" bestFit="1" customWidth="1"/>
    <col min="14" max="16" width="16.28515625" bestFit="1" customWidth="1"/>
    <col min="17" max="17" width="12.5703125" bestFit="1" customWidth="1"/>
    <col min="18" max="18" width="12" bestFit="1" customWidth="1"/>
    <col min="20" max="20" width="8.85546875" bestFit="1" customWidth="1"/>
    <col min="21" max="21" width="12.42578125" bestFit="1" customWidth="1"/>
    <col min="22" max="22" width="6.85546875" bestFit="1" customWidth="1"/>
    <col min="23" max="23" width="13.5703125" bestFit="1" customWidth="1"/>
    <col min="24" max="24" width="11.5703125" bestFit="1" customWidth="1"/>
    <col min="25" max="25" width="9.5703125" bestFit="1" customWidth="1"/>
    <col min="26" max="26" width="6.7109375" bestFit="1" customWidth="1"/>
    <col min="27" max="27" width="6.85546875" bestFit="1" customWidth="1"/>
    <col min="28" max="28" width="6.7109375" bestFit="1" customWidth="1"/>
    <col min="29" max="29" width="8.7109375" bestFit="1" customWidth="1"/>
    <col min="30" max="33" width="4" customWidth="1"/>
    <col min="42" max="42" width="13.7109375" bestFit="1" customWidth="1"/>
    <col min="43" max="43" width="3" bestFit="1" customWidth="1"/>
    <col min="44" max="44" width="10.85546875" bestFit="1" customWidth="1"/>
    <col min="45" max="45" width="14.28515625" bestFit="1" customWidth="1"/>
    <col min="46" max="46" width="13.42578125" bestFit="1" customWidth="1"/>
    <col min="47" max="47" width="12.5703125" bestFit="1" customWidth="1"/>
    <col min="48" max="48" width="8" bestFit="1" customWidth="1"/>
    <col min="49" max="49" width="7" bestFit="1" customWidth="1"/>
    <col min="51" max="51" width="12" bestFit="1" customWidth="1"/>
    <col min="52" max="52" width="10.5703125" bestFit="1" customWidth="1"/>
    <col min="53" max="53" width="11.28515625" bestFit="1" customWidth="1"/>
    <col min="54" max="57" width="10.5703125" bestFit="1" customWidth="1"/>
    <col min="58" max="58" width="12.5703125" bestFit="1" customWidth="1"/>
    <col min="60" max="60" width="8.85546875" bestFit="1" customWidth="1"/>
    <col min="61" max="61" width="13.28515625" bestFit="1" customWidth="1"/>
    <col min="62" max="62" width="7" bestFit="1" customWidth="1"/>
    <col min="63" max="63" width="13.28515625" bestFit="1" customWidth="1"/>
    <col min="64" max="64" width="11.5703125" bestFit="1" customWidth="1"/>
    <col min="65" max="65" width="8.140625" bestFit="1" customWidth="1"/>
    <col min="66" max="66" width="5.28515625" bestFit="1" customWidth="1"/>
    <col min="67" max="67" width="5.5703125" bestFit="1" customWidth="1"/>
    <col min="68" max="68" width="7.42578125" bestFit="1" customWidth="1"/>
    <col min="69" max="69" width="7.140625" bestFit="1" customWidth="1"/>
  </cols>
  <sheetData>
    <row r="2" spans="2:70" ht="15.75" thickBot="1" x14ac:dyDescent="0.3"/>
    <row r="3" spans="2:70" ht="18.75" x14ac:dyDescent="0.3">
      <c r="E3" s="134">
        <v>2017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6"/>
      <c r="AR3" s="27"/>
      <c r="AS3" s="134">
        <v>2016</v>
      </c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6"/>
    </row>
    <row r="4" spans="2:70" ht="90" x14ac:dyDescent="0.25">
      <c r="B4" t="s">
        <v>1262</v>
      </c>
      <c r="D4" t="s">
        <v>1339</v>
      </c>
      <c r="E4" s="43" t="s">
        <v>39</v>
      </c>
      <c r="F4" s="40" t="s">
        <v>2</v>
      </c>
      <c r="G4" s="40" t="s">
        <v>40</v>
      </c>
      <c r="H4" s="40" t="s">
        <v>41</v>
      </c>
      <c r="I4" s="40"/>
      <c r="J4" s="40" t="s">
        <v>3</v>
      </c>
      <c r="K4" s="44" t="s">
        <v>1254</v>
      </c>
      <c r="L4" s="40" t="s">
        <v>1256</v>
      </c>
      <c r="M4" s="40" t="s">
        <v>46</v>
      </c>
      <c r="N4" s="40" t="s">
        <v>1258</v>
      </c>
      <c r="O4" s="40" t="s">
        <v>1271</v>
      </c>
      <c r="P4" s="40" t="s">
        <v>1255</v>
      </c>
      <c r="Q4" s="40" t="s">
        <v>5</v>
      </c>
      <c r="R4" s="40" t="s">
        <v>6</v>
      </c>
      <c r="S4" s="40" t="s">
        <v>7</v>
      </c>
      <c r="T4" s="40" t="s">
        <v>8</v>
      </c>
      <c r="U4" s="40" t="s">
        <v>42</v>
      </c>
      <c r="V4" s="40" t="s">
        <v>34</v>
      </c>
      <c r="W4" s="40" t="s">
        <v>44</v>
      </c>
      <c r="X4" s="120" t="s">
        <v>45</v>
      </c>
      <c r="Y4" s="40" t="s">
        <v>1249</v>
      </c>
      <c r="Z4" s="40" t="s">
        <v>1250</v>
      </c>
      <c r="AA4" s="40" t="s">
        <v>1251</v>
      </c>
      <c r="AB4" s="40" t="s">
        <v>1259</v>
      </c>
      <c r="AC4" s="115" t="s">
        <v>1248</v>
      </c>
      <c r="AP4" t="s">
        <v>1262</v>
      </c>
      <c r="AR4" s="28"/>
      <c r="AS4" s="43" t="s">
        <v>39</v>
      </c>
      <c r="AT4" s="40" t="s">
        <v>2</v>
      </c>
      <c r="AU4" s="40" t="s">
        <v>40</v>
      </c>
      <c r="AV4" s="40" t="s">
        <v>41</v>
      </c>
      <c r="AW4" s="40"/>
      <c r="AX4" s="44" t="s">
        <v>3</v>
      </c>
      <c r="AY4" s="44" t="s">
        <v>1254</v>
      </c>
      <c r="AZ4" s="40" t="s">
        <v>1256</v>
      </c>
      <c r="BA4" s="40" t="s">
        <v>46</v>
      </c>
      <c r="BB4" s="40" t="s">
        <v>1258</v>
      </c>
      <c r="BC4" s="40" t="s">
        <v>1271</v>
      </c>
      <c r="BD4" s="40" t="s">
        <v>1255</v>
      </c>
      <c r="BE4" s="40" t="s">
        <v>5</v>
      </c>
      <c r="BF4" s="40" t="s">
        <v>6</v>
      </c>
      <c r="BG4" s="40" t="s">
        <v>7</v>
      </c>
      <c r="BH4" s="41" t="s">
        <v>8</v>
      </c>
      <c r="BI4" t="s">
        <v>42</v>
      </c>
      <c r="BJ4" t="s">
        <v>34</v>
      </c>
      <c r="BK4" s="45" t="s">
        <v>44</v>
      </c>
      <c r="BL4" s="45" t="s">
        <v>45</v>
      </c>
      <c r="BM4" s="45" t="s">
        <v>1249</v>
      </c>
      <c r="BN4" s="45" t="s">
        <v>1250</v>
      </c>
      <c r="BO4" s="45" t="s">
        <v>1251</v>
      </c>
      <c r="BP4" s="45" t="s">
        <v>1259</v>
      </c>
      <c r="BQ4" s="45" t="s">
        <v>1248</v>
      </c>
      <c r="BR4" s="45"/>
    </row>
    <row r="5" spans="2:70" x14ac:dyDescent="0.25">
      <c r="B5" s="42">
        <f t="shared" ref="B5:B16" si="0">F5-AA5</f>
        <v>-40813</v>
      </c>
      <c r="C5">
        <v>31</v>
      </c>
      <c r="D5" s="28" t="s">
        <v>10</v>
      </c>
      <c r="E5" s="36">
        <f>15221+25554</f>
        <v>40775</v>
      </c>
      <c r="F5" s="11">
        <v>-40775</v>
      </c>
      <c r="G5" s="11">
        <f>E5+F5</f>
        <v>0</v>
      </c>
      <c r="H5" s="11"/>
      <c r="I5" s="11"/>
      <c r="J5" s="8" t="e">
        <f>E5/L5</f>
        <v>#DIV/0!</v>
      </c>
      <c r="K5" s="8"/>
      <c r="L5" s="8">
        <v>0</v>
      </c>
      <c r="M5" s="8"/>
      <c r="N5" s="8"/>
      <c r="O5" s="8"/>
      <c r="P5" s="8"/>
      <c r="Q5" s="8">
        <v>305</v>
      </c>
      <c r="R5" s="8">
        <v>1238</v>
      </c>
      <c r="S5" s="31">
        <v>38</v>
      </c>
      <c r="T5" s="8"/>
      <c r="U5" s="111">
        <f>Q5*100</f>
        <v>30500</v>
      </c>
      <c r="V5" s="111">
        <f>U5/43560</f>
        <v>0.70018365472910926</v>
      </c>
      <c r="W5" s="111">
        <f>U5*7.841</f>
        <v>239150.5</v>
      </c>
      <c r="X5" s="111">
        <f>W5/C5</f>
        <v>7714.5322580645161</v>
      </c>
      <c r="Y5" s="112">
        <v>0.40143555854241336</v>
      </c>
      <c r="Z5" s="113">
        <v>9</v>
      </c>
      <c r="AA5" s="114">
        <v>38</v>
      </c>
      <c r="AB5" s="114">
        <f>Z5-2</f>
        <v>7</v>
      </c>
      <c r="AC5" s="116">
        <v>9.6443410899063539E-3</v>
      </c>
      <c r="AP5" s="42">
        <f t="shared" ref="AP5:AP16" si="1">AS5-BF5</f>
        <v>35849</v>
      </c>
      <c r="AQ5">
        <v>31</v>
      </c>
      <c r="AR5" s="28" t="s">
        <v>10</v>
      </c>
      <c r="AS5" s="36">
        <f>20451+15843</f>
        <v>36294</v>
      </c>
      <c r="AT5" s="11">
        <v>-36294</v>
      </c>
      <c r="AU5" s="11">
        <f>AS5+AT5</f>
        <v>0</v>
      </c>
      <c r="AV5" s="11"/>
      <c r="AW5" s="11"/>
      <c r="AX5" s="8" t="e">
        <f t="shared" ref="AX5:AX16" si="2">AS5/AZ5</f>
        <v>#DIV/0!</v>
      </c>
      <c r="AY5" s="8"/>
      <c r="AZ5" s="8">
        <v>0</v>
      </c>
      <c r="BA5" s="8"/>
      <c r="BB5" s="8"/>
      <c r="BC5" s="8"/>
      <c r="BD5" s="8"/>
      <c r="BE5" s="8">
        <v>7</v>
      </c>
      <c r="BF5" s="11">
        <v>445</v>
      </c>
      <c r="BG5" s="31">
        <v>38</v>
      </c>
      <c r="BH5" s="16">
        <v>1.45</v>
      </c>
      <c r="BI5" s="15">
        <f>BE5*100</f>
        <v>700</v>
      </c>
      <c r="BJ5" s="15">
        <f>BI5/43560</f>
        <v>1.6069788797061526E-2</v>
      </c>
      <c r="BK5" s="15">
        <f>BI5*7.841</f>
        <v>5488.7</v>
      </c>
      <c r="BL5" s="15">
        <f t="shared" ref="BL5:BL16" si="3">BK5/AQ5</f>
        <v>177.05483870967743</v>
      </c>
      <c r="BM5" s="95">
        <v>0.40143555854241336</v>
      </c>
      <c r="BN5" s="94">
        <v>9</v>
      </c>
      <c r="BO5" s="93">
        <v>38</v>
      </c>
      <c r="BP5" s="93">
        <f>BN5-2</f>
        <v>7</v>
      </c>
      <c r="BQ5" s="88">
        <v>9.6443410899063539E-3</v>
      </c>
      <c r="BR5" s="89"/>
    </row>
    <row r="6" spans="2:70" x14ac:dyDescent="0.25">
      <c r="B6" s="42">
        <f t="shared" si="0"/>
        <v>-49237</v>
      </c>
      <c r="C6">
        <v>28</v>
      </c>
      <c r="D6" s="28" t="s">
        <v>11</v>
      </c>
      <c r="E6" s="36">
        <f>22209+45168</f>
        <v>67377</v>
      </c>
      <c r="F6" s="11">
        <v>-49197</v>
      </c>
      <c r="G6" s="11">
        <f>E6+F6</f>
        <v>18180</v>
      </c>
      <c r="H6" s="11">
        <f t="shared" ref="H6:H17" si="4">G6/L6</f>
        <v>13.6384096024006</v>
      </c>
      <c r="I6" s="11">
        <f t="shared" ref="I6:I16" si="5">G6*L6-C6</f>
        <v>24233912</v>
      </c>
      <c r="J6" s="8">
        <f>E6/L6</f>
        <v>50.545386346586646</v>
      </c>
      <c r="K6" s="99">
        <v>4746.7262520831509</v>
      </c>
      <c r="L6" s="8">
        <v>1333</v>
      </c>
      <c r="M6" s="8">
        <f>L6-K6</f>
        <v>-3413.7262520831509</v>
      </c>
      <c r="N6" s="8">
        <f t="shared" ref="N6:N16" si="6">((AB6*60+AA6)*B6)/10</f>
        <v>-2560324</v>
      </c>
      <c r="O6" s="8">
        <f>N6*0.6</f>
        <v>-1536194.4</v>
      </c>
      <c r="P6" s="8">
        <f>O6*4</f>
        <v>-6144777.5999999996</v>
      </c>
      <c r="Q6" s="8">
        <v>414</v>
      </c>
      <c r="R6" s="8">
        <v>1518</v>
      </c>
      <c r="S6" s="31">
        <v>44</v>
      </c>
      <c r="T6" s="8"/>
      <c r="U6" s="111">
        <f t="shared" ref="U6:U16" si="7">Q6*100</f>
        <v>41400</v>
      </c>
      <c r="V6" s="111">
        <f t="shared" ref="V6:V16" si="8">U6/43560</f>
        <v>0.95041322314049592</v>
      </c>
      <c r="W6" s="111">
        <f t="shared" ref="W6:W16" si="9">U6*7.841</f>
        <v>324617.40000000002</v>
      </c>
      <c r="X6" s="111">
        <f t="shared" ref="X6:X16" si="10">W6/C6</f>
        <v>11593.478571428572</v>
      </c>
      <c r="Y6" s="112">
        <v>0.44470785440613025</v>
      </c>
      <c r="Z6" s="113">
        <v>10</v>
      </c>
      <c r="AA6" s="114">
        <v>40</v>
      </c>
      <c r="AB6" s="114">
        <f t="shared" ref="AB6:AB16" si="11">Z6-2</f>
        <v>8</v>
      </c>
      <c r="AC6" s="116">
        <v>1.4487120172309707E-2</v>
      </c>
      <c r="AP6" s="42">
        <f t="shared" si="1"/>
        <v>70448</v>
      </c>
      <c r="AQ6">
        <v>28</v>
      </c>
      <c r="AR6" s="28" t="s">
        <v>11</v>
      </c>
      <c r="AS6" s="36">
        <f>31931+38857</f>
        <v>70788</v>
      </c>
      <c r="AT6" s="11">
        <v>-47986</v>
      </c>
      <c r="AU6" s="11">
        <f>AS6+AT6</f>
        <v>22802</v>
      </c>
      <c r="AV6" s="11">
        <f t="shared" ref="AV6:AV17" si="12">AU6/AZ6</f>
        <v>14.913015042511445</v>
      </c>
      <c r="AW6" s="11">
        <f t="shared" ref="AW6:AW16" si="13">AV6*AY6-AS6</f>
        <v>0</v>
      </c>
      <c r="AX6" s="8">
        <f t="shared" si="2"/>
        <v>46.296926095487244</v>
      </c>
      <c r="AY6" s="99">
        <v>4746.7262520831509</v>
      </c>
      <c r="AZ6" s="101">
        <v>1529</v>
      </c>
      <c r="BA6" s="8">
        <f>AZ6-AY6</f>
        <v>-3217.7262520831509</v>
      </c>
      <c r="BB6" s="8">
        <f t="shared" ref="BB6:BB16" si="14">((BP6*60+BO6)*AQ6)/10</f>
        <v>1456</v>
      </c>
      <c r="BC6" s="8">
        <f>BB6*0.6</f>
        <v>873.6</v>
      </c>
      <c r="BD6" s="8">
        <f>BC6*4</f>
        <v>3494.4</v>
      </c>
      <c r="BE6" s="8">
        <v>8</v>
      </c>
      <c r="BF6" s="11">
        <v>340</v>
      </c>
      <c r="BG6" s="31">
        <v>44</v>
      </c>
      <c r="BH6" s="16">
        <v>1.48</v>
      </c>
      <c r="BI6" s="15">
        <f t="shared" ref="BI6:BI16" si="15">BE6*100</f>
        <v>800</v>
      </c>
      <c r="BJ6" s="15">
        <f t="shared" ref="BJ6:BJ16" si="16">BI6/43560</f>
        <v>1.8365472910927456E-2</v>
      </c>
      <c r="BK6" s="15">
        <f t="shared" ref="BK6:BK16" si="17">BI6*7.841</f>
        <v>6272.8</v>
      </c>
      <c r="BL6" s="15">
        <f t="shared" si="3"/>
        <v>224.02857142857144</v>
      </c>
      <c r="BM6" s="95">
        <v>0.44470785440613025</v>
      </c>
      <c r="BN6" s="94">
        <v>10</v>
      </c>
      <c r="BO6" s="93">
        <v>40</v>
      </c>
      <c r="BP6" s="93">
        <f t="shared" ref="BP6:BP16" si="18">BN6-2</f>
        <v>8</v>
      </c>
      <c r="BQ6" s="88">
        <v>1.4487120172309707E-2</v>
      </c>
    </row>
    <row r="7" spans="2:70" x14ac:dyDescent="0.25">
      <c r="B7" s="42">
        <f t="shared" si="0"/>
        <v>-12480</v>
      </c>
      <c r="C7">
        <v>31</v>
      </c>
      <c r="D7" s="28" t="s">
        <v>12</v>
      </c>
      <c r="E7" s="36">
        <f>29965+52255</f>
        <v>82220</v>
      </c>
      <c r="F7" s="11">
        <v>-12480</v>
      </c>
      <c r="G7" s="11">
        <f t="shared" ref="G7:G16" si="19">E7+F7</f>
        <v>69740</v>
      </c>
      <c r="H7" s="11">
        <f t="shared" si="4"/>
        <v>15.689538807649043</v>
      </c>
      <c r="I7" s="11">
        <f t="shared" si="5"/>
        <v>309994269</v>
      </c>
      <c r="J7" s="8">
        <f t="shared" ref="J7:J15" si="20">E7/L7</f>
        <v>18.497187851518561</v>
      </c>
      <c r="K7" s="99">
        <v>7022.3504936752788</v>
      </c>
      <c r="L7" s="8">
        <v>4445</v>
      </c>
      <c r="M7" s="8">
        <f t="shared" ref="M7:M11" si="21">L7-K7</f>
        <v>-2577.3504936752788</v>
      </c>
      <c r="N7" s="8">
        <f t="shared" si="6"/>
        <v>-748800</v>
      </c>
      <c r="O7" s="8">
        <f t="shared" ref="O7:O17" si="22">N7*0.6</f>
        <v>-449280</v>
      </c>
      <c r="P7" s="8">
        <f t="shared" ref="P7:P16" si="23">O7*4</f>
        <v>-1797120</v>
      </c>
      <c r="Q7" s="8">
        <v>26</v>
      </c>
      <c r="R7" s="8">
        <v>365</v>
      </c>
      <c r="S7" s="31">
        <v>53</v>
      </c>
      <c r="T7" s="8"/>
      <c r="U7" s="111">
        <f t="shared" si="7"/>
        <v>2600</v>
      </c>
      <c r="V7" s="111">
        <f t="shared" si="8"/>
        <v>5.968778696051423E-2</v>
      </c>
      <c r="W7" s="111">
        <f t="shared" si="9"/>
        <v>20386.600000000002</v>
      </c>
      <c r="X7" s="111">
        <f t="shared" si="10"/>
        <v>657.63225806451624</v>
      </c>
      <c r="Y7" s="112">
        <v>0.50056635802469152</v>
      </c>
      <c r="Z7" s="113">
        <v>12</v>
      </c>
      <c r="AA7" s="114">
        <v>0</v>
      </c>
      <c r="AB7" s="114">
        <f t="shared" si="11"/>
        <v>10</v>
      </c>
      <c r="AC7" s="116">
        <v>1.6321592739403375E-2</v>
      </c>
      <c r="AP7" s="42">
        <f t="shared" si="1"/>
        <v>109136</v>
      </c>
      <c r="AQ7">
        <v>31</v>
      </c>
      <c r="AR7" s="28" t="s">
        <v>12</v>
      </c>
      <c r="AS7" s="36">
        <f>33899+75602</f>
        <v>109501</v>
      </c>
      <c r="AT7" s="11">
        <v>-46099</v>
      </c>
      <c r="AU7" s="11">
        <f t="shared" ref="AU7:AU16" si="24">AS7+AT7</f>
        <v>63402</v>
      </c>
      <c r="AV7" s="11">
        <f t="shared" si="12"/>
        <v>15.593212001967535</v>
      </c>
      <c r="AW7" s="11">
        <f t="shared" si="13"/>
        <v>0</v>
      </c>
      <c r="AX7" s="8">
        <f t="shared" si="2"/>
        <v>26.930890309886866</v>
      </c>
      <c r="AY7" s="99">
        <v>7022.3504936752788</v>
      </c>
      <c r="AZ7" s="101">
        <v>4066</v>
      </c>
      <c r="BA7" s="8">
        <f t="shared" ref="BA7:BA18" si="25">AZ7-AY7</f>
        <v>-2956.3504936752788</v>
      </c>
      <c r="BB7" s="8">
        <f t="shared" si="14"/>
        <v>1860</v>
      </c>
      <c r="BC7" s="8">
        <f t="shared" ref="BC7:BC17" si="26">BB7*0.6</f>
        <v>1116</v>
      </c>
      <c r="BD7" s="8">
        <f t="shared" ref="BD7:BD16" si="27">BC7*4</f>
        <v>4464</v>
      </c>
      <c r="BE7" s="8">
        <v>15</v>
      </c>
      <c r="BF7" s="11">
        <v>365</v>
      </c>
      <c r="BG7" s="31">
        <v>53</v>
      </c>
      <c r="BH7" s="16">
        <v>2.2200000000000002</v>
      </c>
      <c r="BI7" s="15">
        <f t="shared" si="15"/>
        <v>1500</v>
      </c>
      <c r="BJ7" s="15">
        <f t="shared" si="16"/>
        <v>3.4435261707988982E-2</v>
      </c>
      <c r="BK7" s="15">
        <f t="shared" si="17"/>
        <v>11761.5</v>
      </c>
      <c r="BL7" s="15">
        <f t="shared" si="3"/>
        <v>379.40322580645159</v>
      </c>
      <c r="BM7" s="95">
        <v>0.50056635802469152</v>
      </c>
      <c r="BN7" s="94">
        <v>12</v>
      </c>
      <c r="BO7" s="93">
        <v>0</v>
      </c>
      <c r="BP7" s="93">
        <f t="shared" si="18"/>
        <v>10</v>
      </c>
      <c r="BQ7" s="88">
        <v>1.6321592739403375E-2</v>
      </c>
    </row>
    <row r="8" spans="2:70" x14ac:dyDescent="0.25">
      <c r="B8" s="42">
        <f t="shared" si="0"/>
        <v>6048</v>
      </c>
      <c r="C8">
        <v>30</v>
      </c>
      <c r="D8" s="28" t="s">
        <v>13</v>
      </c>
      <c r="E8" s="36">
        <f>44181+25546</f>
        <v>69727</v>
      </c>
      <c r="F8" s="11">
        <v>6068</v>
      </c>
      <c r="G8" s="11">
        <f t="shared" si="19"/>
        <v>75795</v>
      </c>
      <c r="H8" s="11">
        <f t="shared" si="4"/>
        <v>15.618174325159695</v>
      </c>
      <c r="I8" s="11">
        <f t="shared" si="5"/>
        <v>367833105</v>
      </c>
      <c r="J8" s="8">
        <f t="shared" si="20"/>
        <v>14.367813723470018</v>
      </c>
      <c r="K8" s="99">
        <v>5135.3996093011501</v>
      </c>
      <c r="L8" s="8">
        <v>4853</v>
      </c>
      <c r="M8" s="8">
        <f t="shared" si="21"/>
        <v>-282.39960930115012</v>
      </c>
      <c r="N8" s="8">
        <f t="shared" si="6"/>
        <v>411264</v>
      </c>
      <c r="O8" s="8">
        <f t="shared" si="22"/>
        <v>246758.39999999999</v>
      </c>
      <c r="P8" s="8">
        <f t="shared" si="23"/>
        <v>987033.59999999998</v>
      </c>
      <c r="Q8" s="8">
        <v>74</v>
      </c>
      <c r="R8" s="8">
        <v>569</v>
      </c>
      <c r="S8" s="31">
        <v>61</v>
      </c>
      <c r="T8" s="8"/>
      <c r="U8" s="111">
        <f t="shared" si="7"/>
        <v>7400</v>
      </c>
      <c r="V8" s="111">
        <f t="shared" si="8"/>
        <v>0.16988062442607896</v>
      </c>
      <c r="W8" s="111">
        <f t="shared" si="9"/>
        <v>58023.4</v>
      </c>
      <c r="X8" s="111">
        <f t="shared" si="10"/>
        <v>1934.1133333333335</v>
      </c>
      <c r="Y8" s="112">
        <v>0.55598611111111096</v>
      </c>
      <c r="Z8" s="113">
        <v>13</v>
      </c>
      <c r="AA8" s="114">
        <v>20</v>
      </c>
      <c r="AB8" s="114">
        <f t="shared" si="11"/>
        <v>11</v>
      </c>
      <c r="AC8" s="116">
        <v>1.5364251045557048E-2</v>
      </c>
      <c r="AP8" s="42">
        <f t="shared" si="1"/>
        <v>72768</v>
      </c>
      <c r="AQ8">
        <v>30</v>
      </c>
      <c r="AR8" s="28" t="s">
        <v>13</v>
      </c>
      <c r="AS8" s="36">
        <f>44205+30601</f>
        <v>74806</v>
      </c>
      <c r="AT8" s="11">
        <v>4539</v>
      </c>
      <c r="AU8" s="11">
        <f t="shared" si="24"/>
        <v>79345</v>
      </c>
      <c r="AV8" s="11">
        <f t="shared" si="12"/>
        <v>14.566733982008445</v>
      </c>
      <c r="AW8" s="11">
        <f t="shared" si="13"/>
        <v>0</v>
      </c>
      <c r="AX8" s="8">
        <f t="shared" si="2"/>
        <v>13.733431246557739</v>
      </c>
      <c r="AY8" s="99">
        <v>5135.3996093011501</v>
      </c>
      <c r="AZ8" s="101">
        <v>5447</v>
      </c>
      <c r="BA8" s="8">
        <f t="shared" si="25"/>
        <v>311.60039069884988</v>
      </c>
      <c r="BB8" s="8">
        <f t="shared" si="14"/>
        <v>2040</v>
      </c>
      <c r="BC8" s="8">
        <f t="shared" si="26"/>
        <v>1224</v>
      </c>
      <c r="BD8" s="8">
        <f t="shared" si="27"/>
        <v>4896</v>
      </c>
      <c r="BE8" s="8">
        <v>882</v>
      </c>
      <c r="BF8" s="11">
        <v>2038</v>
      </c>
      <c r="BG8" s="31">
        <v>61</v>
      </c>
      <c r="BH8" s="16">
        <v>2.33</v>
      </c>
      <c r="BI8" s="15">
        <f t="shared" si="15"/>
        <v>88200</v>
      </c>
      <c r="BJ8" s="15">
        <f t="shared" si="16"/>
        <v>2.0247933884297522</v>
      </c>
      <c r="BK8" s="15">
        <f t="shared" si="17"/>
        <v>691576.20000000007</v>
      </c>
      <c r="BL8" s="15">
        <f t="shared" si="3"/>
        <v>23052.54</v>
      </c>
      <c r="BM8" s="95">
        <v>0.55598611111111096</v>
      </c>
      <c r="BN8" s="94">
        <v>13</v>
      </c>
      <c r="BO8" s="93">
        <v>20</v>
      </c>
      <c r="BP8" s="93">
        <f t="shared" si="18"/>
        <v>11</v>
      </c>
      <c r="BQ8" s="88">
        <v>1.5364251045557048E-2</v>
      </c>
    </row>
    <row r="9" spans="2:70" x14ac:dyDescent="0.25">
      <c r="B9" s="42">
        <f t="shared" si="0"/>
        <v>-5658</v>
      </c>
      <c r="C9">
        <v>31</v>
      </c>
      <c r="D9" s="28" t="s">
        <v>14</v>
      </c>
      <c r="E9" s="36">
        <f>51970+33895</f>
        <v>85865</v>
      </c>
      <c r="F9" s="11">
        <v>-5629</v>
      </c>
      <c r="G9" s="11">
        <f t="shared" si="19"/>
        <v>80236</v>
      </c>
      <c r="H9" s="11">
        <f t="shared" si="4"/>
        <v>13.383819849874897</v>
      </c>
      <c r="I9" s="11">
        <f t="shared" si="5"/>
        <v>481014789</v>
      </c>
      <c r="J9" s="8">
        <f t="shared" si="20"/>
        <v>14.32276897414512</v>
      </c>
      <c r="K9" s="99">
        <v>6884.1905847639482</v>
      </c>
      <c r="L9" s="8">
        <v>5995</v>
      </c>
      <c r="M9" s="8">
        <f t="shared" si="21"/>
        <v>-889.19058476394821</v>
      </c>
      <c r="N9" s="8">
        <f t="shared" si="6"/>
        <v>-423784.2</v>
      </c>
      <c r="O9" s="8">
        <f t="shared" si="22"/>
        <v>-254270.52</v>
      </c>
      <c r="P9" s="8">
        <f t="shared" si="23"/>
        <v>-1017082.08</v>
      </c>
      <c r="Q9" s="8">
        <v>53</v>
      </c>
      <c r="R9" s="8">
        <v>627</v>
      </c>
      <c r="S9" s="31">
        <v>71</v>
      </c>
      <c r="T9" s="8"/>
      <c r="U9" s="111">
        <f t="shared" si="7"/>
        <v>5300</v>
      </c>
      <c r="V9" s="111">
        <f t="shared" si="8"/>
        <v>0.1216712580348944</v>
      </c>
      <c r="W9" s="111">
        <f t="shared" si="9"/>
        <v>41557.300000000003</v>
      </c>
      <c r="X9" s="111">
        <f t="shared" si="10"/>
        <v>1340.5580645161292</v>
      </c>
      <c r="Y9" s="112">
        <v>0.60354502688172063</v>
      </c>
      <c r="Z9" s="113">
        <v>14</v>
      </c>
      <c r="AA9" s="114">
        <v>29</v>
      </c>
      <c r="AB9" s="114">
        <f t="shared" si="11"/>
        <v>12</v>
      </c>
      <c r="AC9" s="116">
        <v>1.1439844472405666E-2</v>
      </c>
      <c r="AP9" s="42">
        <f t="shared" si="1"/>
        <v>98066</v>
      </c>
      <c r="AQ9">
        <v>31</v>
      </c>
      <c r="AR9" s="28" t="s">
        <v>14</v>
      </c>
      <c r="AS9" s="36">
        <f>73628+28722</f>
        <v>102350</v>
      </c>
      <c r="AT9" s="11">
        <v>-12878</v>
      </c>
      <c r="AU9" s="11">
        <f t="shared" si="24"/>
        <v>89472</v>
      </c>
      <c r="AV9" s="11">
        <f t="shared" si="12"/>
        <v>14.867397806580259</v>
      </c>
      <c r="AW9" s="11">
        <f t="shared" si="13"/>
        <v>0</v>
      </c>
      <c r="AX9" s="8">
        <f t="shared" si="2"/>
        <v>17.007311399135926</v>
      </c>
      <c r="AY9" s="99">
        <v>6884.1905847639482</v>
      </c>
      <c r="AZ9" s="101">
        <v>6018</v>
      </c>
      <c r="BA9" s="8">
        <f t="shared" si="25"/>
        <v>-866.19058476394821</v>
      </c>
      <c r="BB9" s="8">
        <f t="shared" si="14"/>
        <v>2321.9</v>
      </c>
      <c r="BC9" s="8">
        <f t="shared" si="26"/>
        <v>1393.14</v>
      </c>
      <c r="BD9" s="8">
        <f t="shared" si="27"/>
        <v>5572.56</v>
      </c>
      <c r="BE9" s="8">
        <v>1837</v>
      </c>
      <c r="BF9" s="11">
        <v>4284</v>
      </c>
      <c r="BG9" s="31">
        <v>71</v>
      </c>
      <c r="BH9" s="16">
        <v>2.1</v>
      </c>
      <c r="BI9" s="15">
        <f t="shared" si="15"/>
        <v>183700</v>
      </c>
      <c r="BJ9" s="15">
        <f t="shared" si="16"/>
        <v>4.2171717171717171</v>
      </c>
      <c r="BK9" s="15">
        <f t="shared" si="17"/>
        <v>1440391.7</v>
      </c>
      <c r="BL9" s="15">
        <f t="shared" si="3"/>
        <v>46464.24838709677</v>
      </c>
      <c r="BM9" s="95">
        <v>0.60354502688172063</v>
      </c>
      <c r="BN9" s="94">
        <v>14</v>
      </c>
      <c r="BO9" s="93">
        <v>29</v>
      </c>
      <c r="BP9" s="93">
        <f t="shared" si="18"/>
        <v>12</v>
      </c>
      <c r="BQ9" s="88">
        <v>1.1439844472405666E-2</v>
      </c>
    </row>
    <row r="10" spans="2:70" x14ac:dyDescent="0.25">
      <c r="B10" s="42">
        <f t="shared" si="0"/>
        <v>52220</v>
      </c>
      <c r="C10">
        <v>30</v>
      </c>
      <c r="D10" s="28" t="s">
        <v>15</v>
      </c>
      <c r="E10" s="36">
        <f>53362+33827</f>
        <v>87189</v>
      </c>
      <c r="F10" s="11">
        <v>52223</v>
      </c>
      <c r="G10" s="11">
        <f t="shared" si="19"/>
        <v>139412</v>
      </c>
      <c r="H10" s="11">
        <f t="shared" si="4"/>
        <v>22.642845541659899</v>
      </c>
      <c r="I10" s="11">
        <f t="shared" si="5"/>
        <v>858359654</v>
      </c>
      <c r="J10" s="8">
        <f t="shared" si="20"/>
        <v>14.160955010557089</v>
      </c>
      <c r="K10" s="99">
        <v>6445</v>
      </c>
      <c r="L10" s="8">
        <v>6157</v>
      </c>
      <c r="M10" s="8">
        <f t="shared" si="21"/>
        <v>-288</v>
      </c>
      <c r="N10" s="8">
        <f t="shared" si="6"/>
        <v>4088826</v>
      </c>
      <c r="O10" s="8">
        <f t="shared" si="22"/>
        <v>2453295.6</v>
      </c>
      <c r="P10" s="8">
        <f t="shared" si="23"/>
        <v>9813182.4000000004</v>
      </c>
      <c r="Q10" s="8">
        <v>193</v>
      </c>
      <c r="R10" s="8">
        <v>1383</v>
      </c>
      <c r="S10" s="8">
        <v>82</v>
      </c>
      <c r="T10" s="8"/>
      <c r="U10" s="111">
        <f t="shared" si="7"/>
        <v>19300</v>
      </c>
      <c r="V10" s="111">
        <f t="shared" si="8"/>
        <v>0.4430670339761249</v>
      </c>
      <c r="W10" s="111">
        <f t="shared" si="9"/>
        <v>151331.30000000002</v>
      </c>
      <c r="X10" s="111">
        <f t="shared" si="10"/>
        <v>5044.376666666667</v>
      </c>
      <c r="Y10" s="112">
        <v>0.62710493827160485</v>
      </c>
      <c r="Z10" s="113">
        <v>15</v>
      </c>
      <c r="AA10" s="114">
        <v>3</v>
      </c>
      <c r="AB10" s="114">
        <f t="shared" si="11"/>
        <v>13</v>
      </c>
      <c r="AC10" s="116">
        <v>2.2073790006837618E-3</v>
      </c>
      <c r="AP10" s="42">
        <f t="shared" si="1"/>
        <v>127135</v>
      </c>
      <c r="AQ10">
        <v>30</v>
      </c>
      <c r="AR10" s="28" t="s">
        <v>15</v>
      </c>
      <c r="AS10" s="36">
        <f>96010+46762</f>
        <v>142772</v>
      </c>
      <c r="AT10" s="11">
        <v>-46929</v>
      </c>
      <c r="AU10" s="11">
        <f t="shared" si="24"/>
        <v>95843</v>
      </c>
      <c r="AV10" s="11">
        <f t="shared" si="12"/>
        <v>22.152366188173758</v>
      </c>
      <c r="AW10" s="11">
        <f t="shared" si="13"/>
        <v>8.277987944893539E-5</v>
      </c>
      <c r="AX10" s="8">
        <f t="shared" si="2"/>
        <v>32.999150959568709</v>
      </c>
      <c r="AY10" s="99">
        <v>6445</v>
      </c>
      <c r="AZ10" s="101">
        <v>4326.5355576853299</v>
      </c>
      <c r="BA10" s="8">
        <f t="shared" si="25"/>
        <v>-2118.4644423146701</v>
      </c>
      <c r="BB10" s="8">
        <f t="shared" si="14"/>
        <v>2349</v>
      </c>
      <c r="BC10" s="8">
        <f t="shared" si="26"/>
        <v>1409.3999999999999</v>
      </c>
      <c r="BD10" s="8">
        <f t="shared" si="27"/>
        <v>5637.5999999999995</v>
      </c>
      <c r="BE10" s="8">
        <v>8291</v>
      </c>
      <c r="BF10" s="11">
        <v>15637</v>
      </c>
      <c r="BG10" s="8">
        <v>82</v>
      </c>
      <c r="BH10" s="16">
        <v>1.1299999999999999</v>
      </c>
      <c r="BI10" s="15">
        <f t="shared" si="15"/>
        <v>829100</v>
      </c>
      <c r="BJ10" s="15">
        <f t="shared" si="16"/>
        <v>19.033516988062441</v>
      </c>
      <c r="BK10" s="15">
        <f t="shared" si="17"/>
        <v>6500973.1000000006</v>
      </c>
      <c r="BL10" s="15">
        <f t="shared" si="3"/>
        <v>216699.10333333336</v>
      </c>
      <c r="BM10" s="95">
        <v>0.62710493827160485</v>
      </c>
      <c r="BN10" s="94">
        <v>15</v>
      </c>
      <c r="BO10" s="93">
        <v>3</v>
      </c>
      <c r="BP10" s="93">
        <f t="shared" si="18"/>
        <v>13</v>
      </c>
      <c r="BQ10" s="88">
        <v>2.2073790006837618E-3</v>
      </c>
    </row>
    <row r="11" spans="2:70" x14ac:dyDescent="0.25">
      <c r="B11" s="42">
        <f t="shared" si="0"/>
        <v>-2055</v>
      </c>
      <c r="C11">
        <v>31</v>
      </c>
      <c r="D11" s="28" t="s">
        <v>16</v>
      </c>
      <c r="E11" s="36">
        <f>48868+45118</f>
        <v>93986</v>
      </c>
      <c r="F11" s="11">
        <v>-2011</v>
      </c>
      <c r="G11" s="11">
        <f t="shared" si="19"/>
        <v>91975</v>
      </c>
      <c r="H11" s="11">
        <f t="shared" si="4"/>
        <v>14.938281630664285</v>
      </c>
      <c r="I11" s="11">
        <f t="shared" si="5"/>
        <v>566290044</v>
      </c>
      <c r="J11" s="8">
        <f t="shared" si="20"/>
        <v>15.264901737859347</v>
      </c>
      <c r="K11" s="99">
        <v>6042</v>
      </c>
      <c r="L11" s="8">
        <v>6157</v>
      </c>
      <c r="M11" s="8">
        <f t="shared" si="21"/>
        <v>115</v>
      </c>
      <c r="N11" s="8">
        <f t="shared" si="6"/>
        <v>-157002</v>
      </c>
      <c r="O11" s="8">
        <f t="shared" si="22"/>
        <v>-94201.2</v>
      </c>
      <c r="P11" s="8">
        <f t="shared" si="23"/>
        <v>-376804.8</v>
      </c>
      <c r="Q11" s="8">
        <v>316</v>
      </c>
      <c r="R11" s="8">
        <v>2146</v>
      </c>
      <c r="S11" s="8">
        <v>90</v>
      </c>
      <c r="T11" s="8"/>
      <c r="U11" s="111">
        <f t="shared" si="7"/>
        <v>31600</v>
      </c>
      <c r="V11" s="111">
        <f t="shared" si="8"/>
        <v>0.72543617998163457</v>
      </c>
      <c r="W11" s="111">
        <f t="shared" si="9"/>
        <v>247775.6</v>
      </c>
      <c r="X11" s="111">
        <f t="shared" si="10"/>
        <v>7992.7612903225809</v>
      </c>
      <c r="Y11" s="112">
        <v>0.61413007765830341</v>
      </c>
      <c r="Z11" s="113">
        <v>14</v>
      </c>
      <c r="AA11" s="114">
        <v>44</v>
      </c>
      <c r="AB11" s="114">
        <f t="shared" si="11"/>
        <v>12</v>
      </c>
      <c r="AC11" s="116">
        <v>8.9791992363585909E-3</v>
      </c>
      <c r="AP11" s="42">
        <f t="shared" si="1"/>
        <v>63864</v>
      </c>
      <c r="AQ11">
        <v>31</v>
      </c>
      <c r="AR11" s="28" t="s">
        <v>16</v>
      </c>
      <c r="AS11" s="36">
        <f>51810+40336</f>
        <v>92146</v>
      </c>
      <c r="AT11" s="11">
        <v>-3300</v>
      </c>
      <c r="AU11" s="11">
        <f t="shared" si="24"/>
        <v>88846</v>
      </c>
      <c r="AV11" s="11">
        <f t="shared" si="12"/>
        <v>15.250910294615183</v>
      </c>
      <c r="AW11" s="11">
        <f t="shared" si="13"/>
        <v>6.4930645748972893E-8</v>
      </c>
      <c r="AX11" s="8">
        <f t="shared" si="2"/>
        <v>15.817373657875544</v>
      </c>
      <c r="AY11" s="99">
        <v>6042</v>
      </c>
      <c r="AZ11" s="101">
        <v>5825.6194734402116</v>
      </c>
      <c r="BA11" s="8">
        <f t="shared" si="25"/>
        <v>-216.38052655978845</v>
      </c>
      <c r="BB11" s="8">
        <f t="shared" si="14"/>
        <v>2368.4</v>
      </c>
      <c r="BC11" s="8">
        <f t="shared" si="26"/>
        <v>1421.04</v>
      </c>
      <c r="BD11" s="8">
        <f t="shared" si="27"/>
        <v>5684.16</v>
      </c>
      <c r="BE11" s="8">
        <v>9222</v>
      </c>
      <c r="BF11" s="11">
        <v>28282</v>
      </c>
      <c r="BG11" s="8">
        <v>90</v>
      </c>
      <c r="BH11" s="16">
        <v>0.59</v>
      </c>
      <c r="BI11" s="15">
        <f t="shared" si="15"/>
        <v>922200</v>
      </c>
      <c r="BJ11" s="15">
        <f t="shared" si="16"/>
        <v>21.170798898071624</v>
      </c>
      <c r="BK11" s="15">
        <f t="shared" si="17"/>
        <v>7230970.2000000002</v>
      </c>
      <c r="BL11" s="15">
        <f t="shared" si="3"/>
        <v>233257.10322580647</v>
      </c>
      <c r="BM11" s="95">
        <v>0.61413007765830341</v>
      </c>
      <c r="BN11" s="94">
        <v>14</v>
      </c>
      <c r="BO11" s="93">
        <v>44</v>
      </c>
      <c r="BP11" s="93">
        <f t="shared" si="18"/>
        <v>12</v>
      </c>
      <c r="BQ11" s="88">
        <v>8.9791992363585909E-3</v>
      </c>
    </row>
    <row r="12" spans="2:70" x14ac:dyDescent="0.25">
      <c r="B12" s="42">
        <f t="shared" si="0"/>
        <v>22016</v>
      </c>
      <c r="C12">
        <v>31</v>
      </c>
      <c r="D12" s="28" t="s">
        <v>17</v>
      </c>
      <c r="E12" s="36">
        <f>62912+35272</f>
        <v>98184</v>
      </c>
      <c r="F12" s="11">
        <v>22059</v>
      </c>
      <c r="G12" s="11">
        <f t="shared" si="19"/>
        <v>120243</v>
      </c>
      <c r="H12" s="11">
        <f t="shared" si="4"/>
        <v>13.339582871089416</v>
      </c>
      <c r="I12" s="11">
        <f t="shared" si="5"/>
        <v>1083870371</v>
      </c>
      <c r="J12" s="8">
        <f t="shared" si="20"/>
        <v>10.892389616152652</v>
      </c>
      <c r="K12" s="99">
        <v>5939</v>
      </c>
      <c r="L12" s="8">
        <v>9014</v>
      </c>
      <c r="M12" s="8">
        <f>L12-K12</f>
        <v>3075</v>
      </c>
      <c r="N12" s="8">
        <f t="shared" si="6"/>
        <v>1547724.8</v>
      </c>
      <c r="O12" s="8">
        <f t="shared" si="22"/>
        <v>928634.88</v>
      </c>
      <c r="P12" s="8">
        <f t="shared" si="23"/>
        <v>3714539.52</v>
      </c>
      <c r="Q12" s="8">
        <v>319</v>
      </c>
      <c r="R12" s="8">
        <v>2156</v>
      </c>
      <c r="S12" s="8">
        <v>89</v>
      </c>
      <c r="T12" s="8"/>
      <c r="U12" s="111">
        <f t="shared" si="7"/>
        <v>31900</v>
      </c>
      <c r="V12" s="111">
        <f t="shared" si="8"/>
        <v>0.73232323232323238</v>
      </c>
      <c r="W12" s="111">
        <f t="shared" si="9"/>
        <v>250127.9</v>
      </c>
      <c r="X12" s="111">
        <f t="shared" si="10"/>
        <v>8068.6419354838708</v>
      </c>
      <c r="Y12" s="112">
        <v>0.57169952210274799</v>
      </c>
      <c r="Z12" s="113">
        <v>13</v>
      </c>
      <c r="AA12" s="114">
        <v>43</v>
      </c>
      <c r="AB12" s="114">
        <f t="shared" si="11"/>
        <v>11</v>
      </c>
      <c r="AC12" s="116">
        <v>1.4838178208767556E-2</v>
      </c>
      <c r="AP12" s="42">
        <f t="shared" si="1"/>
        <v>61646</v>
      </c>
      <c r="AQ12">
        <v>31</v>
      </c>
      <c r="AR12" s="28" t="s">
        <v>17</v>
      </c>
      <c r="AS12" s="36">
        <f>64638+33566</f>
        <v>98204</v>
      </c>
      <c r="AT12" s="11">
        <v>-16007</v>
      </c>
      <c r="AU12" s="11">
        <f t="shared" si="24"/>
        <v>82197</v>
      </c>
      <c r="AV12" s="11">
        <f t="shared" si="12"/>
        <v>16.535443780171398</v>
      </c>
      <c r="AW12" s="11">
        <f t="shared" si="13"/>
        <v>6.1043794266879559E-4</v>
      </c>
      <c r="AX12" s="8">
        <f t="shared" si="2"/>
        <v>19.755547294766867</v>
      </c>
      <c r="AY12" s="99">
        <v>5939</v>
      </c>
      <c r="AZ12" s="101">
        <v>4970.9582090906533</v>
      </c>
      <c r="BA12" s="8">
        <f>AZ12-AY12</f>
        <v>-968.04179090934667</v>
      </c>
      <c r="BB12" s="8">
        <f t="shared" si="14"/>
        <v>2179.3000000000002</v>
      </c>
      <c r="BC12" s="8">
        <f t="shared" si="26"/>
        <v>1307.5800000000002</v>
      </c>
      <c r="BD12" s="8">
        <f t="shared" si="27"/>
        <v>5230.3200000000006</v>
      </c>
      <c r="BE12" s="8">
        <v>11704</v>
      </c>
      <c r="BF12" s="11">
        <v>36558</v>
      </c>
      <c r="BG12" s="8">
        <v>89</v>
      </c>
      <c r="BH12" s="16">
        <v>0.71</v>
      </c>
      <c r="BI12" s="15">
        <f t="shared" si="15"/>
        <v>1170400</v>
      </c>
      <c r="BJ12" s="15">
        <f t="shared" si="16"/>
        <v>26.868686868686869</v>
      </c>
      <c r="BK12" s="15">
        <f t="shared" si="17"/>
        <v>9177106.4000000004</v>
      </c>
      <c r="BL12" s="15">
        <f t="shared" si="3"/>
        <v>296035.69032258063</v>
      </c>
      <c r="BM12" s="95">
        <v>0.57169952210274799</v>
      </c>
      <c r="BN12" s="94">
        <v>13</v>
      </c>
      <c r="BO12" s="93">
        <v>43</v>
      </c>
      <c r="BP12" s="93">
        <f t="shared" si="18"/>
        <v>11</v>
      </c>
      <c r="BQ12" s="88">
        <v>1.4838178208767556E-2</v>
      </c>
    </row>
    <row r="13" spans="2:70" x14ac:dyDescent="0.25">
      <c r="B13" s="42">
        <f t="shared" si="0"/>
        <v>-19535</v>
      </c>
      <c r="C13">
        <v>30</v>
      </c>
      <c r="D13" s="28" t="s">
        <v>18</v>
      </c>
      <c r="E13" s="36">
        <f>42566+51052</f>
        <v>93618</v>
      </c>
      <c r="F13" s="11">
        <v>-19510</v>
      </c>
      <c r="G13" s="11">
        <f t="shared" si="19"/>
        <v>74108</v>
      </c>
      <c r="H13" s="11">
        <f t="shared" si="4"/>
        <v>15.707503179313269</v>
      </c>
      <c r="I13" s="11">
        <f t="shared" si="5"/>
        <v>349641514</v>
      </c>
      <c r="J13" s="8">
        <f t="shared" si="20"/>
        <v>19.84272997032641</v>
      </c>
      <c r="K13" s="99">
        <v>8960.8308450371769</v>
      </c>
      <c r="L13" s="8">
        <v>4718</v>
      </c>
      <c r="M13" s="8">
        <f t="shared" ref="M13:M18" si="28">L13-K13</f>
        <v>-4242.8308450371769</v>
      </c>
      <c r="N13" s="8">
        <f t="shared" si="6"/>
        <v>-1220937.5</v>
      </c>
      <c r="O13" s="8">
        <f t="shared" si="22"/>
        <v>-732562.5</v>
      </c>
      <c r="P13" s="8">
        <f t="shared" si="23"/>
        <v>-2930250</v>
      </c>
      <c r="Q13" s="8">
        <v>364</v>
      </c>
      <c r="R13" s="8">
        <v>1502</v>
      </c>
      <c r="S13" s="8">
        <v>78</v>
      </c>
      <c r="T13" s="8"/>
      <c r="U13" s="111">
        <f t="shared" si="7"/>
        <v>36400</v>
      </c>
      <c r="V13" s="111">
        <f t="shared" si="8"/>
        <v>0.83562901744719931</v>
      </c>
      <c r="W13" s="111">
        <f t="shared" si="9"/>
        <v>285412.40000000002</v>
      </c>
      <c r="X13" s="111">
        <f t="shared" si="10"/>
        <v>9513.7466666666678</v>
      </c>
      <c r="Y13" s="112">
        <v>0.51758564814814811</v>
      </c>
      <c r="Z13" s="113">
        <v>12</v>
      </c>
      <c r="AA13" s="114">
        <v>25</v>
      </c>
      <c r="AB13" s="114">
        <f t="shared" si="11"/>
        <v>10</v>
      </c>
      <c r="AC13" s="116">
        <v>1.6013254850857014E-2</v>
      </c>
      <c r="AP13" s="42">
        <f t="shared" si="1"/>
        <v>110669</v>
      </c>
      <c r="AQ13">
        <v>30</v>
      </c>
      <c r="AR13" s="28" t="s">
        <v>18</v>
      </c>
      <c r="AS13" s="36">
        <f>79130+46392</f>
        <v>125522</v>
      </c>
      <c r="AT13" s="11">
        <v>-57738</v>
      </c>
      <c r="AU13" s="11">
        <f t="shared" si="24"/>
        <v>67784</v>
      </c>
      <c r="AV13" s="11">
        <f t="shared" si="12"/>
        <v>14.007852862161604</v>
      </c>
      <c r="AW13" s="11">
        <f t="shared" si="13"/>
        <v>0</v>
      </c>
      <c r="AX13" s="8">
        <f t="shared" si="2"/>
        <v>25.939656953916099</v>
      </c>
      <c r="AY13" s="99">
        <v>8960.8308450371769</v>
      </c>
      <c r="AZ13" s="101">
        <v>4839</v>
      </c>
      <c r="BA13" s="8">
        <f t="shared" si="25"/>
        <v>-4121.8308450371769</v>
      </c>
      <c r="BB13" s="8">
        <f t="shared" si="14"/>
        <v>1875</v>
      </c>
      <c r="BC13" s="8">
        <f t="shared" si="26"/>
        <v>1125</v>
      </c>
      <c r="BD13" s="8">
        <f t="shared" si="27"/>
        <v>4500</v>
      </c>
      <c r="BE13" s="8">
        <v>533</v>
      </c>
      <c r="BF13" s="11">
        <v>14853</v>
      </c>
      <c r="BG13" s="8">
        <v>78</v>
      </c>
      <c r="BH13" s="16">
        <v>1.52</v>
      </c>
      <c r="BI13" s="15">
        <f t="shared" si="15"/>
        <v>53300</v>
      </c>
      <c r="BJ13" s="15">
        <f t="shared" si="16"/>
        <v>1.2235996326905418</v>
      </c>
      <c r="BK13" s="15">
        <f t="shared" si="17"/>
        <v>417925.3</v>
      </c>
      <c r="BL13" s="15">
        <f t="shared" si="3"/>
        <v>13930.843333333332</v>
      </c>
      <c r="BM13" s="95">
        <v>0.51758564814814811</v>
      </c>
      <c r="BN13" s="94">
        <v>12</v>
      </c>
      <c r="BO13" s="93">
        <v>25</v>
      </c>
      <c r="BP13" s="93">
        <f t="shared" si="18"/>
        <v>10</v>
      </c>
      <c r="BQ13" s="88">
        <v>1.6013254850857014E-2</v>
      </c>
    </row>
    <row r="14" spans="2:70" x14ac:dyDescent="0.25">
      <c r="B14" s="42">
        <f t="shared" si="0"/>
        <v>-25149</v>
      </c>
      <c r="C14">
        <v>31</v>
      </c>
      <c r="D14" s="28" t="s">
        <v>19</v>
      </c>
      <c r="E14" s="36">
        <f>60091+30078</f>
        <v>90169</v>
      </c>
      <c r="F14" s="11">
        <v>-25145</v>
      </c>
      <c r="G14" s="11">
        <f t="shared" si="19"/>
        <v>65024</v>
      </c>
      <c r="H14" s="11">
        <f t="shared" si="4"/>
        <v>15.574610778443114</v>
      </c>
      <c r="I14" s="11">
        <f t="shared" si="5"/>
        <v>271475169</v>
      </c>
      <c r="J14" s="8">
        <f t="shared" si="20"/>
        <v>21.597365269461079</v>
      </c>
      <c r="K14" s="99">
        <v>5597.8626541997337</v>
      </c>
      <c r="L14" s="8">
        <v>4175</v>
      </c>
      <c r="M14" s="8">
        <f t="shared" si="28"/>
        <v>-1422.8626541997337</v>
      </c>
      <c r="N14" s="8">
        <f t="shared" si="6"/>
        <v>-1368105.6</v>
      </c>
      <c r="O14" s="8">
        <f t="shared" si="22"/>
        <v>-820863.36</v>
      </c>
      <c r="P14" s="8">
        <f t="shared" si="23"/>
        <v>-3283453.44</v>
      </c>
      <c r="Q14" s="8">
        <v>233</v>
      </c>
      <c r="R14" s="8">
        <v>1064</v>
      </c>
      <c r="S14" s="8">
        <v>65</v>
      </c>
      <c r="T14" s="8"/>
      <c r="U14" s="111">
        <f t="shared" si="7"/>
        <v>23300</v>
      </c>
      <c r="V14" s="111">
        <f t="shared" si="8"/>
        <v>0.53489439853076215</v>
      </c>
      <c r="W14" s="111">
        <f t="shared" si="9"/>
        <v>182695.30000000002</v>
      </c>
      <c r="X14" s="111">
        <f t="shared" si="10"/>
        <v>5893.3967741935494</v>
      </c>
      <c r="Y14" s="112">
        <v>0.46155391278375152</v>
      </c>
      <c r="Z14" s="113">
        <v>11</v>
      </c>
      <c r="AA14" s="114">
        <v>4</v>
      </c>
      <c r="AB14" s="114">
        <f t="shared" si="11"/>
        <v>9</v>
      </c>
      <c r="AC14" s="116">
        <v>1.6021393156489632E-2</v>
      </c>
      <c r="AP14" s="42">
        <f t="shared" si="1"/>
        <v>71407</v>
      </c>
      <c r="AQ14">
        <v>31</v>
      </c>
      <c r="AR14" s="28" t="s">
        <v>19</v>
      </c>
      <c r="AS14" s="36">
        <f>54473+24731</f>
        <v>79204</v>
      </c>
      <c r="AT14" s="11">
        <v>-28296</v>
      </c>
      <c r="AU14" s="11">
        <f t="shared" si="24"/>
        <v>50908</v>
      </c>
      <c r="AV14" s="11">
        <f t="shared" si="12"/>
        <v>14.148971650917176</v>
      </c>
      <c r="AW14" s="11">
        <f t="shared" si="13"/>
        <v>0</v>
      </c>
      <c r="AX14" s="8">
        <f t="shared" si="2"/>
        <v>22.013340744858255</v>
      </c>
      <c r="AY14" s="99">
        <v>5597.8626541997337</v>
      </c>
      <c r="AZ14" s="101">
        <v>3598</v>
      </c>
      <c r="BA14" s="8">
        <f t="shared" si="25"/>
        <v>-1999.8626541997337</v>
      </c>
      <c r="BB14" s="8">
        <f t="shared" si="14"/>
        <v>1686.4</v>
      </c>
      <c r="BC14" s="8">
        <f t="shared" si="26"/>
        <v>1011.84</v>
      </c>
      <c r="BD14" s="8">
        <f t="shared" si="27"/>
        <v>4047.36</v>
      </c>
      <c r="BE14" s="8">
        <v>312</v>
      </c>
      <c r="BF14" s="11">
        <v>7797</v>
      </c>
      <c r="BG14" s="8">
        <v>65</v>
      </c>
      <c r="BH14" s="16">
        <v>1.64</v>
      </c>
      <c r="BI14" s="15">
        <f t="shared" si="15"/>
        <v>31200</v>
      </c>
      <c r="BJ14" s="15">
        <f t="shared" si="16"/>
        <v>0.71625344352617082</v>
      </c>
      <c r="BK14" s="15">
        <f t="shared" si="17"/>
        <v>244639.2</v>
      </c>
      <c r="BL14" s="15">
        <f t="shared" si="3"/>
        <v>7891.5870967741939</v>
      </c>
      <c r="BM14" s="95">
        <v>0.46155391278375152</v>
      </c>
      <c r="BN14" s="94">
        <v>11</v>
      </c>
      <c r="BO14" s="93">
        <v>4</v>
      </c>
      <c r="BP14" s="93">
        <f t="shared" si="18"/>
        <v>9</v>
      </c>
      <c r="BQ14" s="88">
        <v>1.6021393156489632E-2</v>
      </c>
    </row>
    <row r="15" spans="2:70" x14ac:dyDescent="0.25">
      <c r="B15" s="42">
        <f t="shared" si="0"/>
        <v>-6031</v>
      </c>
      <c r="C15">
        <v>30</v>
      </c>
      <c r="D15" s="28" t="s">
        <v>20</v>
      </c>
      <c r="E15" s="36">
        <f>23522+25703</f>
        <v>49225</v>
      </c>
      <c r="F15" s="11">
        <v>-5977</v>
      </c>
      <c r="G15" s="11">
        <f t="shared" si="19"/>
        <v>43248</v>
      </c>
      <c r="H15" s="11">
        <f t="shared" si="4"/>
        <v>11.48380244291025</v>
      </c>
      <c r="I15" s="11">
        <f t="shared" si="5"/>
        <v>162871938</v>
      </c>
      <c r="J15" s="8">
        <f t="shared" si="20"/>
        <v>13.070897503983005</v>
      </c>
      <c r="K15" s="99">
        <v>6713.9487644068658</v>
      </c>
      <c r="L15" s="8">
        <v>3766</v>
      </c>
      <c r="M15" s="8">
        <f t="shared" si="28"/>
        <v>-2947.9487644068658</v>
      </c>
      <c r="N15" s="8">
        <f t="shared" si="6"/>
        <v>-285869.40000000002</v>
      </c>
      <c r="O15" s="8">
        <f t="shared" si="22"/>
        <v>-171521.64</v>
      </c>
      <c r="P15" s="8">
        <f t="shared" si="23"/>
        <v>-686086.56</v>
      </c>
      <c r="Q15" s="8">
        <v>234</v>
      </c>
      <c r="R15" s="8">
        <v>982</v>
      </c>
      <c r="S15" s="8">
        <v>50</v>
      </c>
      <c r="T15" s="8"/>
      <c r="U15" s="111">
        <f t="shared" si="7"/>
        <v>23400</v>
      </c>
      <c r="V15" s="111">
        <f t="shared" si="8"/>
        <v>0.53719008264462809</v>
      </c>
      <c r="W15" s="111">
        <f t="shared" si="9"/>
        <v>183479.4</v>
      </c>
      <c r="X15" s="111">
        <f t="shared" si="10"/>
        <v>6115.98</v>
      </c>
      <c r="Y15" s="112">
        <v>0.41259259259259262</v>
      </c>
      <c r="Z15" s="113">
        <v>9</v>
      </c>
      <c r="AA15" s="114">
        <v>54</v>
      </c>
      <c r="AB15" s="114">
        <f t="shared" si="11"/>
        <v>7</v>
      </c>
      <c r="AC15" s="116">
        <v>1.1627971529667866E-2</v>
      </c>
      <c r="AP15" s="42">
        <f t="shared" si="1"/>
        <v>73304</v>
      </c>
      <c r="AQ15">
        <v>30</v>
      </c>
      <c r="AR15" s="28" t="s">
        <v>20</v>
      </c>
      <c r="AS15" s="36">
        <f>49606+24546</f>
        <v>74152</v>
      </c>
      <c r="AT15" s="11">
        <v>-34414</v>
      </c>
      <c r="AU15" s="11">
        <f t="shared" si="24"/>
        <v>39738</v>
      </c>
      <c r="AV15" s="11">
        <f t="shared" si="12"/>
        <v>11.044469149527515</v>
      </c>
      <c r="AW15" s="11">
        <f t="shared" si="13"/>
        <v>0</v>
      </c>
      <c r="AX15" s="8">
        <f t="shared" si="2"/>
        <v>20.609227348526961</v>
      </c>
      <c r="AY15" s="99">
        <v>6713.9487644068658</v>
      </c>
      <c r="AZ15" s="101">
        <v>3598</v>
      </c>
      <c r="BA15" s="8">
        <f t="shared" si="25"/>
        <v>-3115.9487644068658</v>
      </c>
      <c r="BB15" s="8">
        <f t="shared" si="14"/>
        <v>1422</v>
      </c>
      <c r="BC15" s="8">
        <f t="shared" si="26"/>
        <v>853.19999999999993</v>
      </c>
      <c r="BD15" s="8">
        <f t="shared" si="27"/>
        <v>3412.7999999999997</v>
      </c>
      <c r="BE15" s="8">
        <v>166</v>
      </c>
      <c r="BF15" s="11">
        <v>848</v>
      </c>
      <c r="BG15" s="8">
        <v>50</v>
      </c>
      <c r="BH15" s="16">
        <v>1.78</v>
      </c>
      <c r="BI15" s="15">
        <f t="shared" si="15"/>
        <v>16600</v>
      </c>
      <c r="BJ15" s="15">
        <f t="shared" si="16"/>
        <v>0.38108356290174472</v>
      </c>
      <c r="BK15" s="15">
        <f t="shared" si="17"/>
        <v>130160.6</v>
      </c>
      <c r="BL15" s="15">
        <f t="shared" si="3"/>
        <v>4338.6866666666665</v>
      </c>
      <c r="BM15" s="95">
        <v>0.41259259259259262</v>
      </c>
      <c r="BN15" s="94">
        <v>9</v>
      </c>
      <c r="BO15" s="93">
        <v>54</v>
      </c>
      <c r="BP15" s="93">
        <f t="shared" si="18"/>
        <v>7</v>
      </c>
      <c r="BQ15" s="88">
        <v>1.1627971529667866E-2</v>
      </c>
    </row>
    <row r="16" spans="2:70" ht="15.75" thickBot="1" x14ac:dyDescent="0.3">
      <c r="B16" s="42">
        <f t="shared" si="0"/>
        <v>-68324</v>
      </c>
      <c r="C16">
        <v>31</v>
      </c>
      <c r="D16" s="29" t="s">
        <v>21</v>
      </c>
      <c r="E16" s="36">
        <f>60035+22962</f>
        <v>82997</v>
      </c>
      <c r="F16" s="11">
        <v>-68306</v>
      </c>
      <c r="G16" s="11">
        <f t="shared" si="19"/>
        <v>14691</v>
      </c>
      <c r="H16" s="11">
        <f t="shared" si="4"/>
        <v>17.263219741480611</v>
      </c>
      <c r="I16" s="11">
        <f t="shared" si="5"/>
        <v>12502010</v>
      </c>
      <c r="J16" s="8">
        <f>E16/L16</f>
        <v>97.528789659224444</v>
      </c>
      <c r="K16" s="99">
        <v>3496.8147981051206</v>
      </c>
      <c r="L16" s="8">
        <v>851</v>
      </c>
      <c r="M16" s="8">
        <f t="shared" si="28"/>
        <v>-2645.8147981051206</v>
      </c>
      <c r="N16" s="8">
        <f t="shared" si="6"/>
        <v>-2992591.2</v>
      </c>
      <c r="O16" s="8">
        <f t="shared" si="22"/>
        <v>-1795554.72</v>
      </c>
      <c r="P16" s="8">
        <f t="shared" si="23"/>
        <v>-7182218.8799999999</v>
      </c>
      <c r="Q16" s="8">
        <v>240</v>
      </c>
      <c r="R16" s="8">
        <v>774</v>
      </c>
      <c r="S16" s="8">
        <v>40</v>
      </c>
      <c r="T16" s="8"/>
      <c r="U16" s="111">
        <f t="shared" si="7"/>
        <v>24000</v>
      </c>
      <c r="V16" s="111">
        <f t="shared" si="8"/>
        <v>0.55096418732782371</v>
      </c>
      <c r="W16" s="111">
        <f t="shared" si="9"/>
        <v>188184</v>
      </c>
      <c r="X16" s="111">
        <f t="shared" si="10"/>
        <v>6070.4516129032254</v>
      </c>
      <c r="Y16" s="112">
        <v>0.38771953405017923</v>
      </c>
      <c r="Z16" s="113">
        <v>9</v>
      </c>
      <c r="AA16" s="114">
        <v>18</v>
      </c>
      <c r="AB16" s="114">
        <f t="shared" si="11"/>
        <v>7</v>
      </c>
      <c r="AC16" s="116">
        <v>2.5008061900349677E-3</v>
      </c>
      <c r="AP16" s="42">
        <f t="shared" si="1"/>
        <v>47766</v>
      </c>
      <c r="AQ16">
        <v>31</v>
      </c>
      <c r="AR16" s="29" t="s">
        <v>21</v>
      </c>
      <c r="AS16" s="37">
        <f>23730+25325</f>
        <v>49055</v>
      </c>
      <c r="AT16" s="32">
        <v>-44622</v>
      </c>
      <c r="AU16" s="11">
        <f t="shared" si="24"/>
        <v>4433</v>
      </c>
      <c r="AV16" s="11">
        <f t="shared" si="12"/>
        <v>14.028481012658228</v>
      </c>
      <c r="AW16" s="11">
        <f t="shared" si="13"/>
        <v>0</v>
      </c>
      <c r="AX16" s="9">
        <f t="shared" si="2"/>
        <v>155.23734177215189</v>
      </c>
      <c r="AY16" s="100">
        <v>3496.8147981051206</v>
      </c>
      <c r="AZ16" s="102">
        <v>316</v>
      </c>
      <c r="BA16" s="8">
        <f t="shared" si="25"/>
        <v>-3180.8147981051206</v>
      </c>
      <c r="BB16" s="8">
        <f t="shared" si="14"/>
        <v>1357.8</v>
      </c>
      <c r="BC16" s="8">
        <f t="shared" si="26"/>
        <v>814.68</v>
      </c>
      <c r="BD16" s="8">
        <f t="shared" si="27"/>
        <v>3258.72</v>
      </c>
      <c r="BE16" s="9">
        <v>325</v>
      </c>
      <c r="BF16" s="32">
        <v>1289</v>
      </c>
      <c r="BG16" s="9">
        <v>40</v>
      </c>
      <c r="BH16" s="21">
        <v>1.62</v>
      </c>
      <c r="BI16" s="15">
        <f t="shared" si="15"/>
        <v>32500</v>
      </c>
      <c r="BJ16" s="15">
        <f t="shared" si="16"/>
        <v>0.74609733700642789</v>
      </c>
      <c r="BK16" s="15">
        <f t="shared" si="17"/>
        <v>254832.5</v>
      </c>
      <c r="BL16" s="15">
        <f t="shared" si="3"/>
        <v>8220.4032258064508</v>
      </c>
      <c r="BM16" s="95">
        <v>0.38771953405017923</v>
      </c>
      <c r="BN16" s="94">
        <v>9</v>
      </c>
      <c r="BO16" s="93">
        <v>18</v>
      </c>
      <c r="BP16" s="93">
        <f t="shared" si="18"/>
        <v>7</v>
      </c>
      <c r="BQ16" s="88">
        <v>2.5008061900349677E-3</v>
      </c>
    </row>
    <row r="17" spans="5:58" x14ac:dyDescent="0.25">
      <c r="E17" s="122">
        <f>SUM(E5:E16)</f>
        <v>941332</v>
      </c>
      <c r="F17" s="111">
        <f>SUM(F5:F16)</f>
        <v>-148680</v>
      </c>
      <c r="G17" s="121">
        <f>SUM(G5:G16)</f>
        <v>792652</v>
      </c>
      <c r="H17" s="11">
        <f t="shared" si="4"/>
        <v>15.402067464635474</v>
      </c>
      <c r="I17" s="11">
        <f>G17*L18-C17</f>
        <v>0</v>
      </c>
      <c r="J17" s="1"/>
      <c r="K17" s="111">
        <f t="shared" ref="K17" si="29">SUM(K6:K16)</f>
        <v>66984.124001572432</v>
      </c>
      <c r="L17" s="111">
        <f>SUM(L5:L16)</f>
        <v>51464</v>
      </c>
      <c r="M17" s="8">
        <f t="shared" si="28"/>
        <v>-15520.124001572432</v>
      </c>
      <c r="N17" s="15">
        <f>SUM(N6:N16)</f>
        <v>-3709599.1000000006</v>
      </c>
      <c r="O17" s="8">
        <f t="shared" si="22"/>
        <v>-2225759.4600000004</v>
      </c>
      <c r="P17" s="15">
        <f>SUM(P6:P16)</f>
        <v>-8903037.8399999999</v>
      </c>
      <c r="Q17" s="111">
        <f>SUM(Q5:Q16)</f>
        <v>2771</v>
      </c>
      <c r="R17" s="111">
        <f>SUM(R5:R16)</f>
        <v>14324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S17" s="42">
        <f>SUM(AS5:AS16)</f>
        <v>1054794</v>
      </c>
      <c r="AT17" s="42">
        <f>SUM(AT5:AT16)</f>
        <v>-370024</v>
      </c>
      <c r="AU17" s="42">
        <f>SUM(AU5:AU16)</f>
        <v>684770</v>
      </c>
      <c r="AV17" s="11">
        <f t="shared" si="12"/>
        <v>15.376302572959364</v>
      </c>
      <c r="AW17" s="11">
        <f>AV17*AY18-AS17</f>
        <v>0</v>
      </c>
      <c r="AX17" s="42"/>
      <c r="AY17" s="15">
        <f t="shared" ref="AY17:AZ17" si="30">SUM(AY6:AY16)</f>
        <v>66984.124001572432</v>
      </c>
      <c r="AZ17" s="15">
        <f t="shared" si="30"/>
        <v>44534.113240216197</v>
      </c>
      <c r="BA17" s="8">
        <f t="shared" si="25"/>
        <v>-22450.010761356236</v>
      </c>
      <c r="BB17" s="15">
        <f>SUM(BB6:BB16)</f>
        <v>20915.8</v>
      </c>
      <c r="BC17" s="8">
        <f t="shared" si="26"/>
        <v>12549.48</v>
      </c>
      <c r="BD17" s="15">
        <f>SUM(BD6:BD16)</f>
        <v>50197.920000000006</v>
      </c>
      <c r="BE17" s="15">
        <f t="shared" ref="BE17:BF17" si="31">SUM(BE6:BE16)</f>
        <v>33295</v>
      </c>
      <c r="BF17" s="7">
        <f t="shared" si="31"/>
        <v>112291</v>
      </c>
    </row>
    <row r="18" spans="5:58" x14ac:dyDescent="0.25">
      <c r="E18" s="2"/>
      <c r="F18" s="1"/>
      <c r="G18" s="1"/>
      <c r="H18" s="1"/>
      <c r="I18" s="1"/>
      <c r="J18" s="1"/>
      <c r="K18" s="1">
        <v>68598.676111834051</v>
      </c>
      <c r="L18" s="1"/>
      <c r="M18" s="8">
        <f t="shared" si="28"/>
        <v>-68598.676111834051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3"/>
      <c r="AY18">
        <v>68598.676111834051</v>
      </c>
      <c r="AZ18" s="13">
        <v>44534.113240216197</v>
      </c>
      <c r="BA18" s="8">
        <f t="shared" si="25"/>
        <v>-24064.562871617854</v>
      </c>
    </row>
    <row r="19" spans="5:58" ht="15.75" thickBot="1" x14ac:dyDescent="0.3">
      <c r="E19" s="4"/>
      <c r="F19" s="118"/>
      <c r="G19" s="118"/>
      <c r="H19" s="118"/>
      <c r="I19" s="118"/>
      <c r="J19" s="123">
        <f>R17/E17</f>
        <v>1.5216735434469454E-2</v>
      </c>
      <c r="K19" s="123"/>
      <c r="L19" s="118"/>
      <c r="M19" s="117">
        <f>SUM(M6:M16)</f>
        <v>-15520.124001572423</v>
      </c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9"/>
      <c r="BA19" s="15">
        <f>SUM(BA6:BA16)</f>
        <v>-22450.010761356229</v>
      </c>
    </row>
    <row r="20" spans="5:58" x14ac:dyDescent="0.25">
      <c r="BA20" s="15"/>
    </row>
    <row r="21" spans="5:58" x14ac:dyDescent="0.25">
      <c r="AS21" s="7">
        <v>1054794</v>
      </c>
      <c r="AT21" s="7">
        <v>-370024</v>
      </c>
      <c r="AU21" s="7">
        <v>684770</v>
      </c>
      <c r="AV21" s="7">
        <v>21.012703315197125</v>
      </c>
      <c r="AW21" s="11">
        <f>AV21*AY21-AS21</f>
        <v>0</v>
      </c>
      <c r="AY21" s="13">
        <v>50197.919999999998</v>
      </c>
      <c r="BA21" s="15"/>
    </row>
    <row r="28" spans="5:58" s="108" customFormat="1" ht="30" x14ac:dyDescent="0.25">
      <c r="J28" s="108" t="s">
        <v>1283</v>
      </c>
      <c r="L28" s="108" t="s">
        <v>1297</v>
      </c>
      <c r="Q28" s="108" t="s">
        <v>1298</v>
      </c>
      <c r="R28" s="108" t="s">
        <v>1283</v>
      </c>
      <c r="S28" s="108" t="s">
        <v>1297</v>
      </c>
      <c r="T28" s="108" t="s">
        <v>1299</v>
      </c>
      <c r="U28" s="108" t="s">
        <v>1283</v>
      </c>
      <c r="V28" s="108" t="s">
        <v>1297</v>
      </c>
    </row>
    <row r="29" spans="5:58" x14ac:dyDescent="0.25">
      <c r="E29" t="s">
        <v>1284</v>
      </c>
      <c r="F29" s="13">
        <v>200538</v>
      </c>
      <c r="G29" s="13"/>
      <c r="H29" s="13"/>
      <c r="I29" s="13"/>
      <c r="J29">
        <v>36</v>
      </c>
      <c r="L29" t="s">
        <v>1296</v>
      </c>
      <c r="Q29">
        <v>99185</v>
      </c>
      <c r="R29">
        <v>2922</v>
      </c>
      <c r="S29" t="s">
        <v>1296</v>
      </c>
      <c r="T29">
        <v>101353</v>
      </c>
      <c r="U29">
        <v>2929</v>
      </c>
      <c r="V29" t="s">
        <v>1296</v>
      </c>
    </row>
    <row r="30" spans="5:58" x14ac:dyDescent="0.25">
      <c r="E30" t="s">
        <v>1285</v>
      </c>
    </row>
    <row r="31" spans="5:58" x14ac:dyDescent="0.25">
      <c r="E31" t="s">
        <v>1286</v>
      </c>
      <c r="F31">
        <v>14100</v>
      </c>
      <c r="J31">
        <v>1918</v>
      </c>
      <c r="L31">
        <v>7</v>
      </c>
      <c r="Q31">
        <v>7590</v>
      </c>
      <c r="R31">
        <v>1288</v>
      </c>
      <c r="S31">
        <v>7.7</v>
      </c>
      <c r="T31">
        <v>6510</v>
      </c>
      <c r="U31">
        <v>1259</v>
      </c>
      <c r="V31">
        <v>6.4</v>
      </c>
    </row>
    <row r="32" spans="5:58" x14ac:dyDescent="0.25">
      <c r="E32" t="s">
        <v>1287</v>
      </c>
      <c r="F32">
        <v>13596</v>
      </c>
      <c r="J32">
        <v>2111</v>
      </c>
      <c r="L32">
        <v>6.8</v>
      </c>
      <c r="Q32">
        <v>6478</v>
      </c>
      <c r="R32">
        <v>1204</v>
      </c>
      <c r="S32">
        <v>6.5</v>
      </c>
      <c r="T32">
        <v>7118</v>
      </c>
      <c r="U32">
        <v>1598</v>
      </c>
      <c r="V32">
        <v>7</v>
      </c>
    </row>
    <row r="33" spans="5:22" x14ac:dyDescent="0.25">
      <c r="E33" t="s">
        <v>1288</v>
      </c>
      <c r="F33">
        <v>11483</v>
      </c>
      <c r="J33">
        <v>1664</v>
      </c>
      <c r="L33">
        <v>5.7</v>
      </c>
      <c r="Q33">
        <v>5946</v>
      </c>
      <c r="R33">
        <v>1237</v>
      </c>
      <c r="S33">
        <v>6</v>
      </c>
      <c r="T33">
        <v>5537</v>
      </c>
      <c r="U33">
        <v>1158</v>
      </c>
      <c r="V33">
        <v>5.5</v>
      </c>
    </row>
    <row r="34" spans="5:22" x14ac:dyDescent="0.25">
      <c r="E34" t="s">
        <v>1289</v>
      </c>
      <c r="F34">
        <v>11262</v>
      </c>
      <c r="J34">
        <v>1481</v>
      </c>
      <c r="L34">
        <v>5.6</v>
      </c>
      <c r="Q34">
        <v>5457</v>
      </c>
      <c r="R34">
        <v>1232</v>
      </c>
      <c r="S34">
        <v>5.5</v>
      </c>
      <c r="T34">
        <v>5805</v>
      </c>
      <c r="U34">
        <v>1194</v>
      </c>
      <c r="V34">
        <v>5.7</v>
      </c>
    </row>
    <row r="35" spans="5:22" x14ac:dyDescent="0.25">
      <c r="E35" t="s">
        <v>1273</v>
      </c>
      <c r="F35">
        <v>19657</v>
      </c>
      <c r="J35">
        <v>2153</v>
      </c>
      <c r="L35">
        <v>9.8000000000000007</v>
      </c>
      <c r="Q35">
        <v>9641</v>
      </c>
      <c r="R35">
        <v>1621</v>
      </c>
      <c r="S35">
        <v>9.6999999999999993</v>
      </c>
      <c r="T35">
        <v>10016</v>
      </c>
      <c r="U35">
        <v>1647</v>
      </c>
      <c r="V35">
        <v>9.9</v>
      </c>
    </row>
    <row r="36" spans="5:22" x14ac:dyDescent="0.25">
      <c r="E36" t="s">
        <v>1274</v>
      </c>
      <c r="F36">
        <v>25876</v>
      </c>
      <c r="J36">
        <v>2897</v>
      </c>
      <c r="L36">
        <v>12.9</v>
      </c>
      <c r="Q36">
        <v>12649</v>
      </c>
      <c r="R36">
        <v>2097</v>
      </c>
      <c r="S36">
        <v>12.8</v>
      </c>
      <c r="T36">
        <v>13227</v>
      </c>
      <c r="U36">
        <v>2259</v>
      </c>
      <c r="V36">
        <v>13.1</v>
      </c>
    </row>
    <row r="37" spans="5:22" x14ac:dyDescent="0.25">
      <c r="E37" t="s">
        <v>1275</v>
      </c>
      <c r="F37">
        <v>17326</v>
      </c>
      <c r="J37">
        <v>2017</v>
      </c>
      <c r="L37">
        <v>8.6</v>
      </c>
      <c r="Q37">
        <v>9018</v>
      </c>
      <c r="R37">
        <v>1303</v>
      </c>
      <c r="S37">
        <v>9.1</v>
      </c>
      <c r="T37">
        <v>8308</v>
      </c>
      <c r="U37">
        <v>1204</v>
      </c>
      <c r="V37">
        <v>8.1999999999999993</v>
      </c>
    </row>
    <row r="38" spans="5:22" x14ac:dyDescent="0.25">
      <c r="E38" t="s">
        <v>1290</v>
      </c>
      <c r="F38">
        <v>15699</v>
      </c>
      <c r="J38">
        <v>2111</v>
      </c>
      <c r="L38">
        <v>7.8</v>
      </c>
      <c r="Q38">
        <v>6898</v>
      </c>
      <c r="R38">
        <v>1226</v>
      </c>
      <c r="S38">
        <v>7</v>
      </c>
      <c r="T38">
        <v>8801</v>
      </c>
      <c r="U38">
        <v>1322</v>
      </c>
      <c r="V38">
        <v>8.6999999999999993</v>
      </c>
    </row>
    <row r="39" spans="5:22" x14ac:dyDescent="0.25">
      <c r="E39" t="s">
        <v>1291</v>
      </c>
      <c r="F39">
        <v>13122</v>
      </c>
      <c r="J39">
        <v>1672</v>
      </c>
      <c r="L39">
        <v>6.5</v>
      </c>
      <c r="Q39">
        <v>6995</v>
      </c>
      <c r="R39">
        <v>1343</v>
      </c>
      <c r="S39">
        <v>7.1</v>
      </c>
      <c r="T39">
        <v>6127</v>
      </c>
      <c r="U39">
        <v>1186</v>
      </c>
      <c r="V39">
        <v>6</v>
      </c>
    </row>
    <row r="40" spans="5:22" x14ac:dyDescent="0.25">
      <c r="E40" t="s">
        <v>1292</v>
      </c>
      <c r="F40">
        <v>10833</v>
      </c>
      <c r="J40">
        <v>1552</v>
      </c>
      <c r="L40">
        <v>5.4</v>
      </c>
      <c r="Q40">
        <v>6317</v>
      </c>
      <c r="R40">
        <v>1214</v>
      </c>
      <c r="S40">
        <v>6.4</v>
      </c>
      <c r="T40">
        <v>4516</v>
      </c>
      <c r="U40">
        <v>825</v>
      </c>
      <c r="V40">
        <v>4.5</v>
      </c>
    </row>
    <row r="41" spans="5:22" x14ac:dyDescent="0.25">
      <c r="E41" t="s">
        <v>1293</v>
      </c>
      <c r="F41">
        <v>8047</v>
      </c>
      <c r="J41">
        <v>1455</v>
      </c>
      <c r="L41">
        <v>4</v>
      </c>
      <c r="Q41">
        <v>3968</v>
      </c>
      <c r="R41">
        <v>869</v>
      </c>
      <c r="S41">
        <v>4</v>
      </c>
      <c r="T41">
        <v>4079</v>
      </c>
      <c r="U41">
        <v>966</v>
      </c>
      <c r="V41">
        <v>4</v>
      </c>
    </row>
    <row r="42" spans="5:22" x14ac:dyDescent="0.25">
      <c r="E42" t="s">
        <v>1276</v>
      </c>
      <c r="F42">
        <v>9386</v>
      </c>
      <c r="J42">
        <v>1652</v>
      </c>
      <c r="L42">
        <v>4.7</v>
      </c>
      <c r="Q42">
        <v>4699</v>
      </c>
      <c r="R42">
        <v>1104</v>
      </c>
      <c r="S42">
        <v>4.7</v>
      </c>
      <c r="T42">
        <v>4687</v>
      </c>
      <c r="U42">
        <v>939</v>
      </c>
      <c r="V42">
        <v>4.5999999999999996</v>
      </c>
    </row>
    <row r="43" spans="5:22" x14ac:dyDescent="0.25">
      <c r="E43" t="s">
        <v>1277</v>
      </c>
      <c r="F43">
        <v>9048</v>
      </c>
      <c r="J43">
        <v>1520</v>
      </c>
      <c r="L43">
        <v>4.5</v>
      </c>
      <c r="Q43">
        <v>4430</v>
      </c>
      <c r="R43">
        <v>1042</v>
      </c>
      <c r="S43">
        <v>4.5</v>
      </c>
      <c r="T43">
        <v>4618</v>
      </c>
      <c r="U43">
        <v>842</v>
      </c>
      <c r="V43">
        <v>4.5999999999999996</v>
      </c>
    </row>
    <row r="44" spans="5:22" x14ac:dyDescent="0.25">
      <c r="E44" t="s">
        <v>1278</v>
      </c>
      <c r="F44">
        <v>8110</v>
      </c>
      <c r="J44">
        <v>1316</v>
      </c>
      <c r="L44">
        <v>4</v>
      </c>
      <c r="Q44">
        <v>3992</v>
      </c>
      <c r="R44">
        <v>831</v>
      </c>
      <c r="S44">
        <v>4</v>
      </c>
      <c r="T44">
        <v>4118</v>
      </c>
      <c r="U44">
        <v>884</v>
      </c>
      <c r="V44">
        <v>4.0999999999999996</v>
      </c>
    </row>
    <row r="45" spans="5:22" x14ac:dyDescent="0.25">
      <c r="E45" t="s">
        <v>1279</v>
      </c>
      <c r="F45">
        <v>5061</v>
      </c>
      <c r="J45">
        <v>1082</v>
      </c>
      <c r="L45">
        <v>2.5</v>
      </c>
      <c r="Q45">
        <v>2384</v>
      </c>
      <c r="R45">
        <v>683</v>
      </c>
      <c r="S45">
        <v>2.4</v>
      </c>
      <c r="T45">
        <v>2677</v>
      </c>
      <c r="U45">
        <v>700</v>
      </c>
      <c r="V45">
        <v>2.6</v>
      </c>
    </row>
    <row r="46" spans="5:22" x14ac:dyDescent="0.25">
      <c r="E46" t="s">
        <v>1280</v>
      </c>
      <c r="F46">
        <v>3776</v>
      </c>
      <c r="J46">
        <v>1357</v>
      </c>
      <c r="L46">
        <v>1.9</v>
      </c>
      <c r="Q46">
        <v>1538</v>
      </c>
      <c r="R46">
        <v>721</v>
      </c>
      <c r="S46">
        <v>1.6</v>
      </c>
      <c r="T46">
        <v>2238</v>
      </c>
      <c r="U46">
        <v>853</v>
      </c>
      <c r="V46">
        <v>2.2000000000000002</v>
      </c>
    </row>
    <row r="47" spans="5:22" x14ac:dyDescent="0.25">
      <c r="E47" t="s">
        <v>1281</v>
      </c>
      <c r="F47">
        <v>2042</v>
      </c>
      <c r="J47">
        <v>608</v>
      </c>
      <c r="L47">
        <v>1</v>
      </c>
      <c r="Q47">
        <v>565</v>
      </c>
      <c r="R47">
        <v>300</v>
      </c>
      <c r="S47">
        <v>0.6</v>
      </c>
      <c r="T47">
        <v>1477</v>
      </c>
      <c r="U47">
        <v>563</v>
      </c>
      <c r="V47">
        <v>1.5</v>
      </c>
    </row>
    <row r="48" spans="5:22" x14ac:dyDescent="0.25">
      <c r="E48" t="s">
        <v>1282</v>
      </c>
      <c r="F48">
        <v>2114</v>
      </c>
      <c r="J48">
        <v>701</v>
      </c>
      <c r="L48">
        <v>1.1000000000000001</v>
      </c>
      <c r="Q48">
        <v>620</v>
      </c>
      <c r="R48">
        <v>266</v>
      </c>
      <c r="S48">
        <v>0.6</v>
      </c>
      <c r="T48">
        <v>1494</v>
      </c>
      <c r="U48">
        <v>638</v>
      </c>
      <c r="V48">
        <v>1.5</v>
      </c>
    </row>
    <row r="57" spans="5:29" x14ac:dyDescent="0.25">
      <c r="E57" t="b">
        <f>E4=AS4</f>
        <v>1</v>
      </c>
      <c r="F57" t="b">
        <f>F4=AT4</f>
        <v>1</v>
      </c>
      <c r="G57" t="b">
        <f>G4=AU4</f>
        <v>1</v>
      </c>
      <c r="H57" t="b">
        <f t="shared" ref="H57:AC57" si="32">H4=AV4</f>
        <v>1</v>
      </c>
      <c r="I57" t="b">
        <f t="shared" si="32"/>
        <v>1</v>
      </c>
      <c r="J57" t="b">
        <f t="shared" si="32"/>
        <v>1</v>
      </c>
      <c r="K57" t="b">
        <f t="shared" si="32"/>
        <v>1</v>
      </c>
      <c r="L57" t="b">
        <f t="shared" si="32"/>
        <v>1</v>
      </c>
      <c r="M57" t="b">
        <f t="shared" si="32"/>
        <v>1</v>
      </c>
      <c r="N57" t="b">
        <f t="shared" si="32"/>
        <v>1</v>
      </c>
      <c r="O57" t="b">
        <f t="shared" si="32"/>
        <v>1</v>
      </c>
      <c r="P57" t="b">
        <f t="shared" si="32"/>
        <v>1</v>
      </c>
      <c r="Q57" t="b">
        <f t="shared" si="32"/>
        <v>1</v>
      </c>
      <c r="R57" t="b">
        <f t="shared" si="32"/>
        <v>1</v>
      </c>
      <c r="S57" t="b">
        <f t="shared" si="32"/>
        <v>1</v>
      </c>
      <c r="T57" t="b">
        <f t="shared" si="32"/>
        <v>1</v>
      </c>
      <c r="U57" t="b">
        <f t="shared" si="32"/>
        <v>1</v>
      </c>
      <c r="V57" t="b">
        <f t="shared" si="32"/>
        <v>1</v>
      </c>
      <c r="W57" t="b">
        <f t="shared" si="32"/>
        <v>1</v>
      </c>
      <c r="X57" t="b">
        <f t="shared" si="32"/>
        <v>1</v>
      </c>
      <c r="Y57" t="b">
        <f t="shared" si="32"/>
        <v>1</v>
      </c>
      <c r="Z57" t="b">
        <f t="shared" si="32"/>
        <v>1</v>
      </c>
      <c r="AA57" t="b">
        <f t="shared" si="32"/>
        <v>1</v>
      </c>
      <c r="AB57" t="b">
        <f t="shared" si="32"/>
        <v>1</v>
      </c>
      <c r="AC57" t="b">
        <f t="shared" si="32"/>
        <v>1</v>
      </c>
    </row>
  </sheetData>
  <mergeCells count="2">
    <mergeCell ref="AS3:BJ3"/>
    <mergeCell ref="E3:A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7FBD-F291-45A6-A444-E91CE5B72317}">
  <dimension ref="B3:AC74"/>
  <sheetViews>
    <sheetView workbookViewId="0">
      <selection activeCell="A28" sqref="A28:AC44"/>
    </sheetView>
  </sheetViews>
  <sheetFormatPr defaultRowHeight="15" x14ac:dyDescent="0.25"/>
  <cols>
    <col min="2" max="2" width="13.7109375" bestFit="1" customWidth="1"/>
    <col min="3" max="3" width="3" bestFit="1" customWidth="1"/>
    <col min="4" max="4" width="20" bestFit="1" customWidth="1"/>
    <col min="5" max="5" width="11.5703125" bestFit="1" customWidth="1"/>
    <col min="6" max="7" width="14.140625" bestFit="1" customWidth="1"/>
    <col min="8" max="8" width="12.140625" bestFit="1" customWidth="1"/>
    <col min="9" max="9" width="16.28515625" bestFit="1" customWidth="1"/>
    <col min="10" max="10" width="9" bestFit="1" customWidth="1"/>
    <col min="11" max="11" width="12" bestFit="1" customWidth="1"/>
    <col min="12" max="12" width="14.28515625" bestFit="1" customWidth="1"/>
    <col min="13" max="13" width="11.28515625" bestFit="1" customWidth="1"/>
    <col min="14" max="16" width="14" bestFit="1" customWidth="1"/>
    <col min="17" max="18" width="11.5703125" bestFit="1" customWidth="1"/>
    <col min="19" max="19" width="9" bestFit="1" customWidth="1"/>
    <col min="20" max="20" width="8.85546875" bestFit="1" customWidth="1"/>
    <col min="21" max="21" width="14.28515625" bestFit="1" customWidth="1"/>
    <col min="22" max="22" width="8" bestFit="1" customWidth="1"/>
    <col min="23" max="23" width="14.28515625" bestFit="1" customWidth="1"/>
    <col min="24" max="24" width="13.28515625" bestFit="1" customWidth="1"/>
    <col min="25" max="25" width="8.140625" bestFit="1" customWidth="1"/>
    <col min="26" max="26" width="5.28515625" bestFit="1" customWidth="1"/>
    <col min="27" max="27" width="5.5703125" bestFit="1" customWidth="1"/>
    <col min="28" max="28" width="7" bestFit="1" customWidth="1"/>
    <col min="29" max="29" width="7.140625" bestFit="1" customWidth="1"/>
  </cols>
  <sheetData>
    <row r="3" spans="4:13" ht="19.5" thickBot="1" x14ac:dyDescent="0.35">
      <c r="D3" s="170">
        <v>2018</v>
      </c>
      <c r="E3" s="171"/>
      <c r="F3" s="171"/>
      <c r="G3" s="171"/>
      <c r="H3" s="171"/>
      <c r="I3" s="171"/>
      <c r="J3" s="171"/>
      <c r="K3" s="171"/>
    </row>
    <row r="4" spans="4:13" ht="45.75" thickBot="1" x14ac:dyDescent="0.3">
      <c r="D4" s="23" t="s">
        <v>1</v>
      </c>
      <c r="E4" s="5" t="s">
        <v>2</v>
      </c>
      <c r="F4" s="5" t="s">
        <v>3</v>
      </c>
      <c r="G4" s="5" t="s">
        <v>4</v>
      </c>
      <c r="H4" s="5" t="s">
        <v>9</v>
      </c>
      <c r="I4" s="6" t="s">
        <v>6</v>
      </c>
      <c r="J4" s="14" t="s">
        <v>7</v>
      </c>
      <c r="K4" s="30" t="s">
        <v>8</v>
      </c>
      <c r="L4" t="s">
        <v>42</v>
      </c>
      <c r="M4" t="s">
        <v>34</v>
      </c>
    </row>
    <row r="5" spans="4:13" x14ac:dyDescent="0.25">
      <c r="D5" s="24">
        <f>15287+18834</f>
        <v>34121</v>
      </c>
      <c r="E5" s="18">
        <v>-18533</v>
      </c>
      <c r="F5" s="8">
        <f>D5/G5</f>
        <v>25.482449589245707</v>
      </c>
      <c r="G5" s="18">
        <v>1339</v>
      </c>
      <c r="H5" s="18">
        <v>47</v>
      </c>
      <c r="I5" s="19">
        <v>447</v>
      </c>
      <c r="J5" s="31">
        <v>38</v>
      </c>
      <c r="K5" s="16">
        <v>1.45</v>
      </c>
      <c r="L5" s="15">
        <f>H5*100</f>
        <v>4700</v>
      </c>
      <c r="M5" s="15">
        <f>L5/43560</f>
        <v>0.1078971533516988</v>
      </c>
    </row>
    <row r="6" spans="4:13" x14ac:dyDescent="0.25">
      <c r="D6" s="25">
        <f>15627+16981</f>
        <v>32608</v>
      </c>
      <c r="E6" s="8">
        <v>-9536</v>
      </c>
      <c r="F6" s="8">
        <f>D6/G6</f>
        <v>15.83681398737251</v>
      </c>
      <c r="G6" s="8">
        <v>2059</v>
      </c>
      <c r="H6" s="8">
        <v>32</v>
      </c>
      <c r="I6" s="16">
        <v>414</v>
      </c>
      <c r="J6" s="31">
        <v>44</v>
      </c>
      <c r="K6" s="16">
        <v>1.48</v>
      </c>
      <c r="L6" s="15">
        <f t="shared" ref="L6:L16" si="0">H6*100</f>
        <v>3200</v>
      </c>
      <c r="M6" s="15">
        <f t="shared" ref="M6:M16" si="1">L6/43560</f>
        <v>7.3461891643709823E-2</v>
      </c>
    </row>
    <row r="7" spans="4:13" x14ac:dyDescent="0.25">
      <c r="D7" s="25">
        <f>31204+85080</f>
        <v>116284</v>
      </c>
      <c r="E7" s="8">
        <v>-63979</v>
      </c>
      <c r="F7" s="8">
        <f t="shared" ref="F7:F15" si="2">D7/G7</f>
        <v>43.421956684092606</v>
      </c>
      <c r="G7" s="8">
        <v>2678</v>
      </c>
      <c r="H7" s="8">
        <v>39</v>
      </c>
      <c r="I7" s="16">
        <v>423</v>
      </c>
      <c r="J7" s="31">
        <v>53</v>
      </c>
      <c r="K7" s="16">
        <v>2.2200000000000002</v>
      </c>
      <c r="L7" s="15">
        <f t="shared" si="0"/>
        <v>3900</v>
      </c>
      <c r="M7" s="15">
        <f t="shared" si="1"/>
        <v>8.9531680440771352E-2</v>
      </c>
    </row>
    <row r="8" spans="4:13" x14ac:dyDescent="0.25">
      <c r="D8" s="25">
        <f>37681+44638</f>
        <v>82319</v>
      </c>
      <c r="E8" s="8">
        <v>-879</v>
      </c>
      <c r="F8" s="8">
        <f t="shared" si="2"/>
        <v>14.883203760621949</v>
      </c>
      <c r="G8" s="8">
        <v>5531</v>
      </c>
      <c r="H8" s="8">
        <v>96</v>
      </c>
      <c r="I8" s="16">
        <v>578</v>
      </c>
      <c r="J8" s="31">
        <v>61</v>
      </c>
      <c r="K8" s="16">
        <v>2.33</v>
      </c>
      <c r="L8" s="15">
        <f t="shared" si="0"/>
        <v>9600</v>
      </c>
      <c r="M8" s="15">
        <f t="shared" si="1"/>
        <v>0.22038567493112948</v>
      </c>
    </row>
    <row r="9" spans="4:13" x14ac:dyDescent="0.25">
      <c r="D9" s="25">
        <f>41610+36905</f>
        <v>78515</v>
      </c>
      <c r="E9" s="8">
        <v>20455</v>
      </c>
      <c r="F9" s="8">
        <f t="shared" si="2"/>
        <v>11.423686890731849</v>
      </c>
      <c r="G9" s="8">
        <v>6873</v>
      </c>
      <c r="H9" s="8">
        <v>123</v>
      </c>
      <c r="I9" s="16">
        <v>726</v>
      </c>
      <c r="J9" s="31">
        <v>71</v>
      </c>
      <c r="K9" s="16">
        <v>2.1</v>
      </c>
      <c r="L9" s="15">
        <f t="shared" si="0"/>
        <v>12300</v>
      </c>
      <c r="M9" s="15">
        <f t="shared" si="1"/>
        <v>0.28236914600550966</v>
      </c>
    </row>
    <row r="10" spans="4:13" x14ac:dyDescent="0.25">
      <c r="D10" s="25">
        <f>69379+47718</f>
        <v>117097</v>
      </c>
      <c r="E10" s="8">
        <v>10519</v>
      </c>
      <c r="F10" s="8">
        <f t="shared" si="2"/>
        <v>15.781266846361186</v>
      </c>
      <c r="G10" s="8">
        <v>7420</v>
      </c>
      <c r="H10" s="8">
        <v>2474</v>
      </c>
      <c r="I10" s="16">
        <v>1214</v>
      </c>
      <c r="J10" s="8">
        <v>82</v>
      </c>
      <c r="K10" s="16">
        <v>1.1299999999999999</v>
      </c>
      <c r="L10" s="15">
        <f t="shared" si="0"/>
        <v>247400</v>
      </c>
      <c r="M10" s="15">
        <f t="shared" si="1"/>
        <v>5.6795224977043155</v>
      </c>
    </row>
    <row r="11" spans="4:13" x14ac:dyDescent="0.25">
      <c r="D11" s="25">
        <f>79070+42910</f>
        <v>121980</v>
      </c>
      <c r="E11" s="8">
        <v>-21593</v>
      </c>
      <c r="F11" s="8">
        <f t="shared" si="2"/>
        <v>17.356289129197496</v>
      </c>
      <c r="G11" s="8">
        <v>7028</v>
      </c>
      <c r="H11" s="8">
        <v>48710</v>
      </c>
      <c r="I11" s="16">
        <v>43410</v>
      </c>
      <c r="J11" s="8">
        <v>90</v>
      </c>
      <c r="K11" s="16">
        <v>0.59</v>
      </c>
      <c r="L11" s="15">
        <f t="shared" si="0"/>
        <v>4871000</v>
      </c>
      <c r="M11" s="15">
        <f t="shared" si="1"/>
        <v>111.82277318640955</v>
      </c>
    </row>
    <row r="12" spans="4:13" x14ac:dyDescent="0.25">
      <c r="D12" s="25">
        <f>68188+52965</f>
        <v>121153</v>
      </c>
      <c r="E12" s="8">
        <v>734</v>
      </c>
      <c r="F12" s="8">
        <f t="shared" si="2"/>
        <v>13.110377664754896</v>
      </c>
      <c r="G12" s="8">
        <v>9241</v>
      </c>
      <c r="H12" s="8">
        <v>20826</v>
      </c>
      <c r="I12" s="16">
        <v>15286</v>
      </c>
      <c r="J12" s="8">
        <v>89</v>
      </c>
      <c r="K12" s="16">
        <v>0.71</v>
      </c>
      <c r="L12" s="15">
        <f t="shared" si="0"/>
        <v>2082600</v>
      </c>
      <c r="M12" s="15">
        <f t="shared" si="1"/>
        <v>47.809917355371901</v>
      </c>
    </row>
    <row r="13" spans="4:13" x14ac:dyDescent="0.25">
      <c r="D13" s="25">
        <f>-9631+52470</f>
        <v>42839</v>
      </c>
      <c r="E13" s="8">
        <v>53146</v>
      </c>
      <c r="F13" s="8">
        <f t="shared" si="2"/>
        <v>7.0055600981193784</v>
      </c>
      <c r="G13" s="8">
        <v>6115</v>
      </c>
      <c r="H13" s="8">
        <v>102344</v>
      </c>
      <c r="I13" s="16">
        <v>51047</v>
      </c>
      <c r="J13" s="8">
        <v>78</v>
      </c>
      <c r="K13" s="16">
        <v>1.52</v>
      </c>
      <c r="L13" s="15">
        <f t="shared" si="0"/>
        <v>10234400</v>
      </c>
      <c r="M13" s="15">
        <f t="shared" si="1"/>
        <v>234.94949494949495</v>
      </c>
    </row>
    <row r="14" spans="4:13" x14ac:dyDescent="0.25">
      <c r="D14" s="25">
        <f>38436+30680</f>
        <v>69116</v>
      </c>
      <c r="E14" s="8">
        <v>6381</v>
      </c>
      <c r="F14" s="8">
        <f t="shared" si="2"/>
        <v>13.94592413236481</v>
      </c>
      <c r="G14" s="8">
        <v>4956</v>
      </c>
      <c r="H14" s="8">
        <v>8111</v>
      </c>
      <c r="I14" s="16">
        <v>2451</v>
      </c>
      <c r="J14" s="8">
        <v>65</v>
      </c>
      <c r="K14" s="16">
        <v>1.64</v>
      </c>
      <c r="L14" s="15">
        <f t="shared" si="0"/>
        <v>811100</v>
      </c>
      <c r="M14" s="15">
        <f t="shared" si="1"/>
        <v>18.620293847566575</v>
      </c>
    </row>
    <row r="15" spans="4:13" x14ac:dyDescent="0.25">
      <c r="D15" s="25">
        <f>20153+27272</f>
        <v>47425</v>
      </c>
      <c r="E15" s="8">
        <v>-12769</v>
      </c>
      <c r="F15" s="8">
        <f t="shared" si="2"/>
        <v>13.55</v>
      </c>
      <c r="G15" s="8">
        <v>3500</v>
      </c>
      <c r="H15" s="8">
        <v>656</v>
      </c>
      <c r="I15" s="16">
        <v>2159</v>
      </c>
      <c r="J15" s="8">
        <v>50</v>
      </c>
      <c r="K15" s="16">
        <v>1.78</v>
      </c>
      <c r="L15" s="15">
        <f t="shared" si="0"/>
        <v>65600</v>
      </c>
      <c r="M15" s="15">
        <f t="shared" si="1"/>
        <v>1.5059687786960514</v>
      </c>
    </row>
    <row r="16" spans="4:13" ht="15.75" thickBot="1" x14ac:dyDescent="0.3">
      <c r="D16" s="26">
        <f>37570+22830</f>
        <v>60400</v>
      </c>
      <c r="E16" s="9">
        <v>-54012</v>
      </c>
      <c r="F16" s="9">
        <f>D16/G16</f>
        <v>202.68456375838926</v>
      </c>
      <c r="G16" s="9">
        <v>298</v>
      </c>
      <c r="H16" s="9">
        <v>245</v>
      </c>
      <c r="I16" s="21">
        <v>1375</v>
      </c>
      <c r="J16" s="9">
        <v>40</v>
      </c>
      <c r="K16" s="21">
        <v>1.62</v>
      </c>
      <c r="L16" s="15">
        <f t="shared" si="0"/>
        <v>24500</v>
      </c>
      <c r="M16" s="15">
        <f t="shared" si="1"/>
        <v>0.56244260789715339</v>
      </c>
    </row>
    <row r="17" spans="2:29" x14ac:dyDescent="0.25">
      <c r="D17" s="15">
        <f>SUM(D5:D16)</f>
        <v>923857</v>
      </c>
      <c r="E17" s="15">
        <f>SUM(E5:E16)</f>
        <v>-90066</v>
      </c>
      <c r="G17" s="15">
        <f>SUM(G5:G16)</f>
        <v>57038</v>
      </c>
      <c r="H17" s="15">
        <f>SUM(H5:H16)</f>
        <v>183703</v>
      </c>
      <c r="I17" s="15">
        <f>SUM(I5:I16)</f>
        <v>119530</v>
      </c>
    </row>
    <row r="19" spans="2:29" x14ac:dyDescent="0.25">
      <c r="F19" s="109">
        <f>I17/D17</f>
        <v>0.12938149518810813</v>
      </c>
    </row>
    <row r="27" spans="2:29" ht="15.75" thickBot="1" x14ac:dyDescent="0.3"/>
    <row r="28" spans="2:29" ht="18.75" x14ac:dyDescent="0.3">
      <c r="E28" s="134">
        <v>2018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6"/>
    </row>
    <row r="29" spans="2:29" ht="60" x14ac:dyDescent="0.25">
      <c r="B29" t="s">
        <v>1262</v>
      </c>
      <c r="D29" t="s">
        <v>1339</v>
      </c>
      <c r="E29" s="43" t="s">
        <v>39</v>
      </c>
      <c r="F29" s="40" t="s">
        <v>2</v>
      </c>
      <c r="G29" s="40" t="s">
        <v>40</v>
      </c>
      <c r="H29" s="40" t="s">
        <v>41</v>
      </c>
      <c r="I29" s="40"/>
      <c r="J29" s="40" t="s">
        <v>3</v>
      </c>
      <c r="K29" s="44" t="s">
        <v>1254</v>
      </c>
      <c r="L29" s="40" t="s">
        <v>1256</v>
      </c>
      <c r="M29" s="40" t="s">
        <v>46</v>
      </c>
      <c r="N29" s="40" t="s">
        <v>1258</v>
      </c>
      <c r="O29" s="40" t="s">
        <v>1271</v>
      </c>
      <c r="P29" s="40" t="s">
        <v>1255</v>
      </c>
      <c r="Q29" s="40" t="s">
        <v>5</v>
      </c>
      <c r="R29" s="40" t="s">
        <v>6</v>
      </c>
      <c r="S29" s="40" t="s">
        <v>7</v>
      </c>
      <c r="T29" s="40" t="s">
        <v>8</v>
      </c>
      <c r="U29" s="40" t="s">
        <v>42</v>
      </c>
      <c r="V29" s="40" t="s">
        <v>34</v>
      </c>
      <c r="W29" s="40" t="s">
        <v>44</v>
      </c>
      <c r="X29" s="120" t="s">
        <v>45</v>
      </c>
      <c r="Y29" s="40" t="s">
        <v>1249</v>
      </c>
      <c r="Z29" s="40" t="s">
        <v>1250</v>
      </c>
      <c r="AA29" s="40" t="s">
        <v>1251</v>
      </c>
      <c r="AB29" s="40" t="s">
        <v>1259</v>
      </c>
      <c r="AC29" s="115" t="s">
        <v>1248</v>
      </c>
    </row>
    <row r="30" spans="2:29" x14ac:dyDescent="0.25">
      <c r="B30" s="42">
        <f t="shared" ref="B30:B41" si="3">F30-AA30</f>
        <v>-18571</v>
      </c>
      <c r="C30">
        <v>31</v>
      </c>
      <c r="D30" s="28" t="s">
        <v>10</v>
      </c>
      <c r="E30" s="24">
        <f>15287+18834</f>
        <v>34121</v>
      </c>
      <c r="F30" s="18">
        <v>-18533</v>
      </c>
      <c r="G30" s="11">
        <f>E30+F30</f>
        <v>15588</v>
      </c>
      <c r="H30" s="11"/>
      <c r="I30" s="11"/>
      <c r="J30" s="8" t="e">
        <f>E30/L30</f>
        <v>#DIV/0!</v>
      </c>
      <c r="K30" s="8"/>
      <c r="L30" s="8">
        <v>0</v>
      </c>
      <c r="M30" s="8"/>
      <c r="N30" s="8"/>
      <c r="O30" s="8"/>
      <c r="P30" s="8"/>
      <c r="Q30" s="18">
        <v>47</v>
      </c>
      <c r="R30" s="19">
        <v>447</v>
      </c>
      <c r="S30" s="31">
        <v>38</v>
      </c>
      <c r="T30" s="8"/>
      <c r="U30" s="111">
        <f>Q30*100</f>
        <v>4700</v>
      </c>
      <c r="V30" s="111">
        <f>U30/43560</f>
        <v>0.1078971533516988</v>
      </c>
      <c r="W30" s="111">
        <f>U30*7.841</f>
        <v>36852.700000000004</v>
      </c>
      <c r="X30" s="111">
        <f>W30/C30</f>
        <v>1188.7967741935486</v>
      </c>
      <c r="Y30" s="112">
        <v>0.40143555854241336</v>
      </c>
      <c r="Z30" s="113">
        <v>9</v>
      </c>
      <c r="AA30" s="114">
        <v>38</v>
      </c>
      <c r="AB30" s="114">
        <f>Z30-2</f>
        <v>7</v>
      </c>
      <c r="AC30" s="116">
        <v>9.6443410899063539E-3</v>
      </c>
    </row>
    <row r="31" spans="2:29" x14ac:dyDescent="0.25">
      <c r="B31" s="42">
        <f t="shared" si="3"/>
        <v>-9576</v>
      </c>
      <c r="C31">
        <v>28</v>
      </c>
      <c r="D31" s="28" t="s">
        <v>11</v>
      </c>
      <c r="E31" s="25">
        <f>15627+16981</f>
        <v>32608</v>
      </c>
      <c r="F31" s="8">
        <v>-9536</v>
      </c>
      <c r="G31" s="11">
        <f>E31+F31</f>
        <v>23072</v>
      </c>
      <c r="H31" s="11">
        <f t="shared" ref="H31:H42" si="4">G31/L31</f>
        <v>17.23076923076923</v>
      </c>
      <c r="I31" s="11">
        <f t="shared" ref="I31:I41" si="5">G31*L31-C31</f>
        <v>30893380</v>
      </c>
      <c r="J31" s="8">
        <f>E31/L31</f>
        <v>24.352501867064973</v>
      </c>
      <c r="K31" s="99">
        <v>4746.7262520831509</v>
      </c>
      <c r="L31" s="18">
        <v>1339</v>
      </c>
      <c r="M31" s="8">
        <f>L31-K31</f>
        <v>-3407.7262520831509</v>
      </c>
      <c r="N31" s="8">
        <f t="shared" ref="N31:N41" si="6">((AB31*60+AA31)*B31)/10</f>
        <v>-497952</v>
      </c>
      <c r="O31" s="8">
        <f>N31*0.6</f>
        <v>-298771.20000000001</v>
      </c>
      <c r="P31" s="8">
        <f>O31*4</f>
        <v>-1195084.8</v>
      </c>
      <c r="Q31" s="8">
        <v>32</v>
      </c>
      <c r="R31" s="16">
        <v>414</v>
      </c>
      <c r="S31" s="31">
        <v>44</v>
      </c>
      <c r="T31" s="8"/>
      <c r="U31" s="111">
        <f t="shared" ref="U31:U41" si="7">Q31*100</f>
        <v>3200</v>
      </c>
      <c r="V31" s="111">
        <f t="shared" ref="V31:V41" si="8">U31/43560</f>
        <v>7.3461891643709823E-2</v>
      </c>
      <c r="W31" s="111">
        <f t="shared" ref="W31:W41" si="9">U31*7.841</f>
        <v>25091.200000000001</v>
      </c>
      <c r="X31" s="111">
        <f t="shared" ref="X31:X41" si="10">W31/C31</f>
        <v>896.11428571428576</v>
      </c>
      <c r="Y31" s="112">
        <v>0.44470785440613025</v>
      </c>
      <c r="Z31" s="113">
        <v>10</v>
      </c>
      <c r="AA31" s="114">
        <v>40</v>
      </c>
      <c r="AB31" s="114">
        <f t="shared" ref="AB31:AB41" si="11">Z31-2</f>
        <v>8</v>
      </c>
      <c r="AC31" s="116">
        <v>1.4487120172309707E-2</v>
      </c>
    </row>
    <row r="32" spans="2:29" x14ac:dyDescent="0.25">
      <c r="B32" s="42">
        <f t="shared" si="3"/>
        <v>-63979</v>
      </c>
      <c r="C32">
        <v>31</v>
      </c>
      <c r="D32" s="28" t="s">
        <v>12</v>
      </c>
      <c r="E32" s="25">
        <f>31204+85080</f>
        <v>116284</v>
      </c>
      <c r="F32" s="8">
        <v>-63979</v>
      </c>
      <c r="G32" s="11">
        <f t="shared" ref="G32:G41" si="12">E32+F32</f>
        <v>52305</v>
      </c>
      <c r="H32" s="11">
        <f t="shared" si="4"/>
        <v>25.40310830500243</v>
      </c>
      <c r="I32" s="11">
        <f t="shared" si="5"/>
        <v>107695964</v>
      </c>
      <c r="J32" s="8">
        <f t="shared" ref="J32:J40" si="13">E32/L32</f>
        <v>56.475959203496842</v>
      </c>
      <c r="K32" s="99">
        <v>7022.3504936752788</v>
      </c>
      <c r="L32" s="8">
        <v>2059</v>
      </c>
      <c r="M32" s="8">
        <f t="shared" ref="M32:M36" si="14">L32-K32</f>
        <v>-4963.3504936752788</v>
      </c>
      <c r="N32" s="8">
        <f t="shared" si="6"/>
        <v>-3838740</v>
      </c>
      <c r="O32" s="8">
        <f t="shared" ref="O32:O42" si="15">N32*0.6</f>
        <v>-2303244</v>
      </c>
      <c r="P32" s="8">
        <f t="shared" ref="P32:P41" si="16">O32*4</f>
        <v>-9212976</v>
      </c>
      <c r="Q32" s="8">
        <v>39</v>
      </c>
      <c r="R32" s="16">
        <v>423</v>
      </c>
      <c r="S32" s="31">
        <v>53</v>
      </c>
      <c r="T32" s="8"/>
      <c r="U32" s="111">
        <f t="shared" si="7"/>
        <v>3900</v>
      </c>
      <c r="V32" s="111">
        <f t="shared" si="8"/>
        <v>8.9531680440771352E-2</v>
      </c>
      <c r="W32" s="111">
        <f t="shared" si="9"/>
        <v>30579.9</v>
      </c>
      <c r="X32" s="111">
        <f t="shared" si="10"/>
        <v>986.44838709677424</v>
      </c>
      <c r="Y32" s="112">
        <v>0.50056635802469152</v>
      </c>
      <c r="Z32" s="113">
        <v>12</v>
      </c>
      <c r="AA32" s="114">
        <v>0</v>
      </c>
      <c r="AB32" s="114">
        <f t="shared" si="11"/>
        <v>10</v>
      </c>
      <c r="AC32" s="116">
        <v>1.6321592739403375E-2</v>
      </c>
    </row>
    <row r="33" spans="2:29" x14ac:dyDescent="0.25">
      <c r="B33" s="42">
        <f t="shared" si="3"/>
        <v>-899</v>
      </c>
      <c r="C33">
        <v>30</v>
      </c>
      <c r="D33" s="28" t="s">
        <v>13</v>
      </c>
      <c r="E33" s="25">
        <f>37681+44638</f>
        <v>82319</v>
      </c>
      <c r="F33" s="8">
        <v>-879</v>
      </c>
      <c r="G33" s="11">
        <f t="shared" si="12"/>
        <v>81440</v>
      </c>
      <c r="H33" s="11">
        <f t="shared" si="4"/>
        <v>30.41075429424944</v>
      </c>
      <c r="I33" s="11">
        <f t="shared" si="5"/>
        <v>218096290</v>
      </c>
      <c r="J33" s="8">
        <f t="shared" si="13"/>
        <v>30.738984316654218</v>
      </c>
      <c r="K33" s="99">
        <v>5135.3996093011501</v>
      </c>
      <c r="L33" s="8">
        <v>2678</v>
      </c>
      <c r="M33" s="8">
        <f t="shared" si="14"/>
        <v>-2457.3996093011501</v>
      </c>
      <c r="N33" s="8">
        <f t="shared" si="6"/>
        <v>-61132</v>
      </c>
      <c r="O33" s="8">
        <f t="shared" si="15"/>
        <v>-36679.199999999997</v>
      </c>
      <c r="P33" s="8">
        <f t="shared" si="16"/>
        <v>-146716.79999999999</v>
      </c>
      <c r="Q33" s="8">
        <v>96</v>
      </c>
      <c r="R33" s="16">
        <v>578</v>
      </c>
      <c r="S33" s="31">
        <v>61</v>
      </c>
      <c r="T33" s="8"/>
      <c r="U33" s="111">
        <f t="shared" si="7"/>
        <v>9600</v>
      </c>
      <c r="V33" s="111">
        <f t="shared" si="8"/>
        <v>0.22038567493112948</v>
      </c>
      <c r="W33" s="111">
        <f t="shared" si="9"/>
        <v>75273.600000000006</v>
      </c>
      <c r="X33" s="111">
        <f t="shared" si="10"/>
        <v>2509.1200000000003</v>
      </c>
      <c r="Y33" s="112">
        <v>0.55598611111111096</v>
      </c>
      <c r="Z33" s="113">
        <v>13</v>
      </c>
      <c r="AA33" s="114">
        <v>20</v>
      </c>
      <c r="AB33" s="114">
        <f t="shared" si="11"/>
        <v>11</v>
      </c>
      <c r="AC33" s="116">
        <v>1.5364251045557048E-2</v>
      </c>
    </row>
    <row r="34" spans="2:29" x14ac:dyDescent="0.25">
      <c r="B34" s="42">
        <f t="shared" si="3"/>
        <v>20426</v>
      </c>
      <c r="C34">
        <v>31</v>
      </c>
      <c r="D34" s="28" t="s">
        <v>14</v>
      </c>
      <c r="E34" s="25">
        <f>41610+36905</f>
        <v>78515</v>
      </c>
      <c r="F34" s="8">
        <v>20455</v>
      </c>
      <c r="G34" s="11">
        <f t="shared" si="12"/>
        <v>98970</v>
      </c>
      <c r="H34" s="11">
        <f t="shared" si="4"/>
        <v>17.893690110287469</v>
      </c>
      <c r="I34" s="11">
        <f t="shared" si="5"/>
        <v>547403039</v>
      </c>
      <c r="J34" s="8">
        <f t="shared" si="13"/>
        <v>14.195443861869464</v>
      </c>
      <c r="K34" s="99">
        <v>6884.1905847639482</v>
      </c>
      <c r="L34" s="8">
        <v>5531</v>
      </c>
      <c r="M34" s="8">
        <f t="shared" si="14"/>
        <v>-1353.1905847639482</v>
      </c>
      <c r="N34" s="8">
        <f t="shared" si="6"/>
        <v>1529907.4</v>
      </c>
      <c r="O34" s="8">
        <f t="shared" si="15"/>
        <v>917944.44</v>
      </c>
      <c r="P34" s="8">
        <f t="shared" si="16"/>
        <v>3671777.76</v>
      </c>
      <c r="Q34" s="8">
        <v>123</v>
      </c>
      <c r="R34" s="16">
        <v>726</v>
      </c>
      <c r="S34" s="31">
        <v>71</v>
      </c>
      <c r="T34" s="8"/>
      <c r="U34" s="111">
        <f t="shared" si="7"/>
        <v>12300</v>
      </c>
      <c r="V34" s="111">
        <f t="shared" si="8"/>
        <v>0.28236914600550966</v>
      </c>
      <c r="W34" s="111">
        <f t="shared" si="9"/>
        <v>96444.3</v>
      </c>
      <c r="X34" s="111">
        <f t="shared" si="10"/>
        <v>3111.1064516129031</v>
      </c>
      <c r="Y34" s="112">
        <v>0.60354502688172063</v>
      </c>
      <c r="Z34" s="113">
        <v>14</v>
      </c>
      <c r="AA34" s="114">
        <v>29</v>
      </c>
      <c r="AB34" s="114">
        <f t="shared" si="11"/>
        <v>12</v>
      </c>
      <c r="AC34" s="116">
        <v>1.1439844472405666E-2</v>
      </c>
    </row>
    <row r="35" spans="2:29" x14ac:dyDescent="0.25">
      <c r="B35" s="42">
        <f t="shared" si="3"/>
        <v>10516</v>
      </c>
      <c r="C35">
        <v>30</v>
      </c>
      <c r="D35" s="28" t="s">
        <v>15</v>
      </c>
      <c r="E35" s="25">
        <f>69379+47718</f>
        <v>117097</v>
      </c>
      <c r="F35" s="8">
        <v>10519</v>
      </c>
      <c r="G35" s="11">
        <f t="shared" si="12"/>
        <v>127616</v>
      </c>
      <c r="H35" s="11">
        <f t="shared" si="4"/>
        <v>18.567728793830934</v>
      </c>
      <c r="I35" s="11">
        <f t="shared" si="5"/>
        <v>877104738</v>
      </c>
      <c r="J35" s="8">
        <f t="shared" si="13"/>
        <v>17.037247199185217</v>
      </c>
      <c r="K35" s="99">
        <v>6445</v>
      </c>
      <c r="L35" s="8">
        <v>6873</v>
      </c>
      <c r="M35" s="8">
        <f t="shared" si="14"/>
        <v>428</v>
      </c>
      <c r="N35" s="8">
        <f t="shared" si="6"/>
        <v>823402.8</v>
      </c>
      <c r="O35" s="8">
        <f t="shared" si="15"/>
        <v>494041.68</v>
      </c>
      <c r="P35" s="8">
        <f t="shared" si="16"/>
        <v>1976166.72</v>
      </c>
      <c r="Q35" s="8">
        <v>2474</v>
      </c>
      <c r="R35" s="16">
        <v>1214</v>
      </c>
      <c r="S35" s="8">
        <v>82</v>
      </c>
      <c r="T35" s="8"/>
      <c r="U35" s="111">
        <f t="shared" si="7"/>
        <v>247400</v>
      </c>
      <c r="V35" s="111">
        <f t="shared" si="8"/>
        <v>5.6795224977043155</v>
      </c>
      <c r="W35" s="111">
        <f t="shared" si="9"/>
        <v>1939863.4000000001</v>
      </c>
      <c r="X35" s="111">
        <f t="shared" si="10"/>
        <v>64662.113333333335</v>
      </c>
      <c r="Y35" s="112">
        <v>0.62710493827160485</v>
      </c>
      <c r="Z35" s="113">
        <v>15</v>
      </c>
      <c r="AA35" s="114">
        <v>3</v>
      </c>
      <c r="AB35" s="114">
        <f t="shared" si="11"/>
        <v>13</v>
      </c>
      <c r="AC35" s="116">
        <v>2.2073790006837618E-3</v>
      </c>
    </row>
    <row r="36" spans="2:29" x14ac:dyDescent="0.25">
      <c r="B36" s="42">
        <f t="shared" si="3"/>
        <v>-21637</v>
      </c>
      <c r="C36">
        <v>31</v>
      </c>
      <c r="D36" s="28" t="s">
        <v>16</v>
      </c>
      <c r="E36" s="25">
        <f>79070+42910</f>
        <v>121980</v>
      </c>
      <c r="F36" s="8">
        <v>-21593</v>
      </c>
      <c r="G36" s="11">
        <f t="shared" si="12"/>
        <v>100387</v>
      </c>
      <c r="H36" s="11">
        <f t="shared" si="4"/>
        <v>13.529245283018868</v>
      </c>
      <c r="I36" s="11">
        <f t="shared" si="5"/>
        <v>744871509</v>
      </c>
      <c r="J36" s="8">
        <f t="shared" si="13"/>
        <v>16.439353099730457</v>
      </c>
      <c r="K36" s="99">
        <v>6042</v>
      </c>
      <c r="L36" s="8">
        <v>7420</v>
      </c>
      <c r="M36" s="8">
        <f t="shared" si="14"/>
        <v>1378</v>
      </c>
      <c r="N36" s="8">
        <f t="shared" si="6"/>
        <v>-1653066.8</v>
      </c>
      <c r="O36" s="8">
        <f t="shared" si="15"/>
        <v>-991840.08</v>
      </c>
      <c r="P36" s="8">
        <f t="shared" si="16"/>
        <v>-3967360.32</v>
      </c>
      <c r="Q36" s="8">
        <v>48710</v>
      </c>
      <c r="R36" s="16">
        <v>43410</v>
      </c>
      <c r="S36" s="8">
        <v>90</v>
      </c>
      <c r="T36" s="8"/>
      <c r="U36" s="111">
        <f t="shared" si="7"/>
        <v>4871000</v>
      </c>
      <c r="V36" s="111">
        <f t="shared" si="8"/>
        <v>111.82277318640955</v>
      </c>
      <c r="W36" s="111">
        <f t="shared" si="9"/>
        <v>38193511</v>
      </c>
      <c r="X36" s="111">
        <f t="shared" si="10"/>
        <v>1232048.7419354839</v>
      </c>
      <c r="Y36" s="112">
        <v>0.61413007765830341</v>
      </c>
      <c r="Z36" s="113">
        <v>14</v>
      </c>
      <c r="AA36" s="114">
        <v>44</v>
      </c>
      <c r="AB36" s="114">
        <f t="shared" si="11"/>
        <v>12</v>
      </c>
      <c r="AC36" s="116">
        <v>8.9791992363585909E-3</v>
      </c>
    </row>
    <row r="37" spans="2:29" x14ac:dyDescent="0.25">
      <c r="B37" s="42">
        <f t="shared" si="3"/>
        <v>691</v>
      </c>
      <c r="C37">
        <v>31</v>
      </c>
      <c r="D37" s="28" t="s">
        <v>17</v>
      </c>
      <c r="E37" s="25">
        <f>68188+52965</f>
        <v>121153</v>
      </c>
      <c r="F37" s="8">
        <v>734</v>
      </c>
      <c r="G37" s="11">
        <f t="shared" si="12"/>
        <v>121887</v>
      </c>
      <c r="H37" s="11">
        <f t="shared" si="4"/>
        <v>17.343056346044396</v>
      </c>
      <c r="I37" s="11">
        <f t="shared" si="5"/>
        <v>856621805</v>
      </c>
      <c r="J37" s="8">
        <f t="shared" si="13"/>
        <v>17.238616960728514</v>
      </c>
      <c r="K37" s="99">
        <v>5939</v>
      </c>
      <c r="L37" s="8">
        <v>7028</v>
      </c>
      <c r="M37" s="8">
        <f>L37-K37</f>
        <v>1089</v>
      </c>
      <c r="N37" s="8">
        <f t="shared" si="6"/>
        <v>48577.3</v>
      </c>
      <c r="O37" s="8">
        <f t="shared" si="15"/>
        <v>29146.38</v>
      </c>
      <c r="P37" s="8">
        <f t="shared" si="16"/>
        <v>116585.52</v>
      </c>
      <c r="Q37" s="8">
        <v>20826</v>
      </c>
      <c r="R37" s="16">
        <v>15286</v>
      </c>
      <c r="S37" s="8">
        <v>89</v>
      </c>
      <c r="T37" s="8"/>
      <c r="U37" s="111">
        <f t="shared" si="7"/>
        <v>2082600</v>
      </c>
      <c r="V37" s="111">
        <f t="shared" si="8"/>
        <v>47.809917355371901</v>
      </c>
      <c r="W37" s="111">
        <f t="shared" si="9"/>
        <v>16329666.6</v>
      </c>
      <c r="X37" s="111">
        <f t="shared" si="10"/>
        <v>526763.43870967743</v>
      </c>
      <c r="Y37" s="112">
        <v>0.57169952210274799</v>
      </c>
      <c r="Z37" s="113">
        <v>13</v>
      </c>
      <c r="AA37" s="114">
        <v>43</v>
      </c>
      <c r="AB37" s="114">
        <f t="shared" si="11"/>
        <v>11</v>
      </c>
      <c r="AC37" s="116">
        <v>1.4838178208767556E-2</v>
      </c>
    </row>
    <row r="38" spans="2:29" x14ac:dyDescent="0.25">
      <c r="B38" s="42">
        <f t="shared" si="3"/>
        <v>53121</v>
      </c>
      <c r="C38">
        <v>30</v>
      </c>
      <c r="D38" s="28" t="s">
        <v>18</v>
      </c>
      <c r="E38" s="25">
        <f>-9631+52470</f>
        <v>42839</v>
      </c>
      <c r="F38" s="8">
        <v>53146</v>
      </c>
      <c r="G38" s="11">
        <f t="shared" si="12"/>
        <v>95985</v>
      </c>
      <c r="H38" s="11">
        <f t="shared" si="4"/>
        <v>10.386862893626231</v>
      </c>
      <c r="I38" s="11">
        <f t="shared" si="5"/>
        <v>886997355</v>
      </c>
      <c r="J38" s="8">
        <f t="shared" si="13"/>
        <v>4.635753706308841</v>
      </c>
      <c r="K38" s="99">
        <v>8960.8308450371769</v>
      </c>
      <c r="L38" s="8">
        <v>9241</v>
      </c>
      <c r="M38" s="8">
        <f t="shared" ref="M38:M43" si="17">L38-K38</f>
        <v>280.16915496282309</v>
      </c>
      <c r="N38" s="8">
        <f t="shared" si="6"/>
        <v>3320062.5</v>
      </c>
      <c r="O38" s="8">
        <f t="shared" si="15"/>
        <v>1992037.5</v>
      </c>
      <c r="P38" s="8">
        <f t="shared" si="16"/>
        <v>7968150</v>
      </c>
      <c r="Q38" s="8">
        <v>102344</v>
      </c>
      <c r="R38" s="16">
        <v>51047</v>
      </c>
      <c r="S38" s="8">
        <v>78</v>
      </c>
      <c r="T38" s="8"/>
      <c r="U38" s="111">
        <f t="shared" si="7"/>
        <v>10234400</v>
      </c>
      <c r="V38" s="111">
        <f t="shared" si="8"/>
        <v>234.94949494949495</v>
      </c>
      <c r="W38" s="111">
        <f t="shared" si="9"/>
        <v>80247930.400000006</v>
      </c>
      <c r="X38" s="111">
        <f t="shared" si="10"/>
        <v>2674931.0133333337</v>
      </c>
      <c r="Y38" s="112">
        <v>0.51758564814814811</v>
      </c>
      <c r="Z38" s="113">
        <v>12</v>
      </c>
      <c r="AA38" s="114">
        <v>25</v>
      </c>
      <c r="AB38" s="114">
        <f t="shared" si="11"/>
        <v>10</v>
      </c>
      <c r="AC38" s="116">
        <v>1.6013254850857014E-2</v>
      </c>
    </row>
    <row r="39" spans="2:29" x14ac:dyDescent="0.25">
      <c r="B39" s="42">
        <f t="shared" si="3"/>
        <v>6377</v>
      </c>
      <c r="C39">
        <v>31</v>
      </c>
      <c r="D39" s="28" t="s">
        <v>19</v>
      </c>
      <c r="E39" s="25">
        <f>38436+30680</f>
        <v>69116</v>
      </c>
      <c r="F39" s="8">
        <v>6381</v>
      </c>
      <c r="G39" s="11">
        <f t="shared" si="12"/>
        <v>75497</v>
      </c>
      <c r="H39" s="11">
        <f t="shared" si="4"/>
        <v>12.346197874080131</v>
      </c>
      <c r="I39" s="11">
        <f t="shared" si="5"/>
        <v>461664124</v>
      </c>
      <c r="J39" s="8">
        <f t="shared" si="13"/>
        <v>11.302698282910875</v>
      </c>
      <c r="K39" s="99">
        <v>5597.8626541997337</v>
      </c>
      <c r="L39" s="8">
        <v>6115</v>
      </c>
      <c r="M39" s="8">
        <f t="shared" si="17"/>
        <v>517.1373458002663</v>
      </c>
      <c r="N39" s="8">
        <f t="shared" si="6"/>
        <v>346908.8</v>
      </c>
      <c r="O39" s="8">
        <f t="shared" si="15"/>
        <v>208145.28</v>
      </c>
      <c r="P39" s="8">
        <f t="shared" si="16"/>
        <v>832581.12</v>
      </c>
      <c r="Q39" s="8">
        <v>8111</v>
      </c>
      <c r="R39" s="16">
        <v>2451</v>
      </c>
      <c r="S39" s="8">
        <v>65</v>
      </c>
      <c r="T39" s="8"/>
      <c r="U39" s="111">
        <f t="shared" si="7"/>
        <v>811100</v>
      </c>
      <c r="V39" s="111">
        <f t="shared" si="8"/>
        <v>18.620293847566575</v>
      </c>
      <c r="W39" s="111">
        <f t="shared" si="9"/>
        <v>6359835.1000000006</v>
      </c>
      <c r="X39" s="111">
        <f t="shared" si="10"/>
        <v>205155.97096774195</v>
      </c>
      <c r="Y39" s="112">
        <v>0.46155391278375152</v>
      </c>
      <c r="Z39" s="113">
        <v>11</v>
      </c>
      <c r="AA39" s="114">
        <v>4</v>
      </c>
      <c r="AB39" s="114">
        <f t="shared" si="11"/>
        <v>9</v>
      </c>
      <c r="AC39" s="116">
        <v>1.6021393156489632E-2</v>
      </c>
    </row>
    <row r="40" spans="2:29" x14ac:dyDescent="0.25">
      <c r="B40" s="42">
        <f t="shared" si="3"/>
        <v>-12823</v>
      </c>
      <c r="C40">
        <v>30</v>
      </c>
      <c r="D40" s="28" t="s">
        <v>20</v>
      </c>
      <c r="E40" s="25">
        <f>20153+27272</f>
        <v>47425</v>
      </c>
      <c r="F40" s="8">
        <v>-12769</v>
      </c>
      <c r="G40" s="11">
        <f t="shared" si="12"/>
        <v>34656</v>
      </c>
      <c r="H40" s="11">
        <f t="shared" si="4"/>
        <v>6.9927360774818403</v>
      </c>
      <c r="I40" s="11">
        <f t="shared" si="5"/>
        <v>171755106</v>
      </c>
      <c r="J40" s="8">
        <f t="shared" si="13"/>
        <v>9.5692090395480225</v>
      </c>
      <c r="K40" s="99">
        <v>6713.9487644068658</v>
      </c>
      <c r="L40" s="8">
        <v>4956</v>
      </c>
      <c r="M40" s="8">
        <f t="shared" si="17"/>
        <v>-1757.9487644068658</v>
      </c>
      <c r="N40" s="8">
        <f t="shared" si="6"/>
        <v>-607810.19999999995</v>
      </c>
      <c r="O40" s="8">
        <f t="shared" si="15"/>
        <v>-364686.11999999994</v>
      </c>
      <c r="P40" s="8">
        <f t="shared" si="16"/>
        <v>-1458744.4799999997</v>
      </c>
      <c r="Q40" s="8">
        <v>656</v>
      </c>
      <c r="R40" s="16">
        <v>2159</v>
      </c>
      <c r="S40" s="8">
        <v>50</v>
      </c>
      <c r="T40" s="8"/>
      <c r="U40" s="111">
        <f t="shared" si="7"/>
        <v>65600</v>
      </c>
      <c r="V40" s="111">
        <f t="shared" si="8"/>
        <v>1.5059687786960514</v>
      </c>
      <c r="W40" s="111">
        <f t="shared" si="9"/>
        <v>514369.60000000003</v>
      </c>
      <c r="X40" s="111">
        <f t="shared" si="10"/>
        <v>17145.653333333335</v>
      </c>
      <c r="Y40" s="112">
        <v>0.41259259259259262</v>
      </c>
      <c r="Z40" s="113">
        <v>9</v>
      </c>
      <c r="AA40" s="114">
        <v>54</v>
      </c>
      <c r="AB40" s="114">
        <f t="shared" si="11"/>
        <v>7</v>
      </c>
      <c r="AC40" s="116">
        <v>1.1627971529667866E-2</v>
      </c>
    </row>
    <row r="41" spans="2:29" ht="15.75" thickBot="1" x14ac:dyDescent="0.3">
      <c r="B41" s="42">
        <f t="shared" si="3"/>
        <v>-54030</v>
      </c>
      <c r="C41">
        <v>31</v>
      </c>
      <c r="D41" s="29" t="s">
        <v>21</v>
      </c>
      <c r="E41" s="26">
        <f>37570+22830</f>
        <v>60400</v>
      </c>
      <c r="F41" s="9">
        <v>-54012</v>
      </c>
      <c r="G41" s="11">
        <f t="shared" si="12"/>
        <v>6388</v>
      </c>
      <c r="H41" s="11">
        <f t="shared" si="4"/>
        <v>1.8251428571428572</v>
      </c>
      <c r="I41" s="11">
        <f t="shared" si="5"/>
        <v>22357969</v>
      </c>
      <c r="J41" s="8">
        <f>E41/L41</f>
        <v>17.257142857142856</v>
      </c>
      <c r="K41" s="99">
        <v>3496.8147981051206</v>
      </c>
      <c r="L41" s="8">
        <v>3500</v>
      </c>
      <c r="M41" s="8">
        <f t="shared" si="17"/>
        <v>3.1852018948793557</v>
      </c>
      <c r="N41" s="8">
        <f t="shared" si="6"/>
        <v>-2366514</v>
      </c>
      <c r="O41" s="8">
        <f t="shared" si="15"/>
        <v>-1419908.4</v>
      </c>
      <c r="P41" s="8">
        <f t="shared" si="16"/>
        <v>-5679633.5999999996</v>
      </c>
      <c r="Q41" s="9">
        <v>245</v>
      </c>
      <c r="R41" s="21">
        <v>1375</v>
      </c>
      <c r="S41" s="8">
        <v>40</v>
      </c>
      <c r="T41" s="8"/>
      <c r="U41" s="111">
        <f t="shared" si="7"/>
        <v>24500</v>
      </c>
      <c r="V41" s="111">
        <f t="shared" si="8"/>
        <v>0.56244260789715339</v>
      </c>
      <c r="W41" s="111">
        <f t="shared" si="9"/>
        <v>192104.5</v>
      </c>
      <c r="X41" s="111">
        <f t="shared" si="10"/>
        <v>6196.9193548387093</v>
      </c>
      <c r="Y41" s="112">
        <v>0.38771953405017923</v>
      </c>
      <c r="Z41" s="113">
        <v>9</v>
      </c>
      <c r="AA41" s="114">
        <v>18</v>
      </c>
      <c r="AB41" s="114">
        <f t="shared" si="11"/>
        <v>7</v>
      </c>
      <c r="AC41" s="116">
        <v>2.5008061900349677E-3</v>
      </c>
    </row>
    <row r="42" spans="2:29" ht="15.75" thickBot="1" x14ac:dyDescent="0.3">
      <c r="E42" s="122">
        <f>SUM(E30:E41)</f>
        <v>923857</v>
      </c>
      <c r="F42" s="111">
        <f>SUM(F30:F41)</f>
        <v>-90066</v>
      </c>
      <c r="G42" s="121">
        <f>SUM(G30:G41)</f>
        <v>833791</v>
      </c>
      <c r="H42" s="11">
        <f t="shared" si="4"/>
        <v>2797.9563758389263</v>
      </c>
      <c r="I42" s="11">
        <f>G42*L43-C42</f>
        <v>0</v>
      </c>
      <c r="J42" s="1"/>
      <c r="K42" s="111">
        <f t="shared" ref="K42" si="18">SUM(K31:K41)</f>
        <v>66984.124001572432</v>
      </c>
      <c r="L42" s="9">
        <v>298</v>
      </c>
      <c r="M42" s="8">
        <f t="shared" si="17"/>
        <v>-66686.124001572432</v>
      </c>
      <c r="N42" s="15">
        <f>SUM(N31:N41)</f>
        <v>-2956356.2</v>
      </c>
      <c r="O42" s="8">
        <f t="shared" si="15"/>
        <v>-1773813.72</v>
      </c>
      <c r="P42" s="15">
        <f>SUM(P31:P41)</f>
        <v>-7095254.8800000008</v>
      </c>
      <c r="Q42" s="111">
        <f>SUM(Q30:Q41)</f>
        <v>183703</v>
      </c>
      <c r="R42" s="111">
        <f>SUM(R30:R41)</f>
        <v>119530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</row>
    <row r="43" spans="2:29" x14ac:dyDescent="0.25">
      <c r="E43" s="2"/>
      <c r="F43" s="1"/>
      <c r="G43" s="1"/>
      <c r="H43" s="1"/>
      <c r="I43" s="1"/>
      <c r="J43" s="1"/>
      <c r="K43" s="1">
        <v>68598.676111834051</v>
      </c>
      <c r="L43" s="1"/>
      <c r="M43" s="8">
        <f t="shared" si="17"/>
        <v>-68598.676111834051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</row>
    <row r="44" spans="2:29" ht="15.75" thickBot="1" x14ac:dyDescent="0.3">
      <c r="E44" s="4"/>
      <c r="F44" s="118"/>
      <c r="G44" s="118"/>
      <c r="H44" s="118"/>
      <c r="I44" s="118"/>
      <c r="J44" s="123">
        <f>R42/E42</f>
        <v>0.12938149518810813</v>
      </c>
      <c r="K44" s="123"/>
      <c r="L44" s="118"/>
      <c r="M44" s="117">
        <f>SUM(M31:M41)</f>
        <v>-10244.124001572423</v>
      </c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9"/>
    </row>
    <row r="54" spans="4:13" x14ac:dyDescent="0.25">
      <c r="E54" t="s">
        <v>1268</v>
      </c>
      <c r="F54" t="s">
        <v>1320</v>
      </c>
      <c r="G54" t="s">
        <v>1321</v>
      </c>
      <c r="H54" s="147" t="s">
        <v>1298</v>
      </c>
      <c r="I54" s="147"/>
      <c r="J54" s="147"/>
      <c r="K54" s="147" t="s">
        <v>1319</v>
      </c>
      <c r="L54" s="147"/>
      <c r="M54" s="147"/>
    </row>
    <row r="55" spans="4:13" x14ac:dyDescent="0.25">
      <c r="D55" t="s">
        <v>1284</v>
      </c>
      <c r="E55">
        <v>200576</v>
      </c>
      <c r="F55">
        <v>61</v>
      </c>
      <c r="G55" t="s">
        <v>1296</v>
      </c>
      <c r="H55">
        <v>102709</v>
      </c>
      <c r="I55">
        <v>3037</v>
      </c>
      <c r="J55" t="s">
        <v>1296</v>
      </c>
      <c r="K55">
        <v>97867</v>
      </c>
      <c r="L55">
        <v>3033</v>
      </c>
      <c r="M55" t="s">
        <v>1296</v>
      </c>
    </row>
    <row r="56" spans="4:13" ht="15.75" customHeight="1" x14ac:dyDescent="0.25">
      <c r="D56" t="s">
        <v>1300</v>
      </c>
    </row>
    <row r="57" spans="4:13" ht="15.75" customHeight="1" x14ac:dyDescent="0.25">
      <c r="D57" t="s">
        <v>1301</v>
      </c>
      <c r="E57">
        <v>12310</v>
      </c>
      <c r="F57">
        <v>2132</v>
      </c>
      <c r="G57">
        <v>6.1</v>
      </c>
      <c r="H57">
        <v>6272</v>
      </c>
      <c r="I57">
        <v>1245</v>
      </c>
      <c r="J57">
        <v>6.1</v>
      </c>
      <c r="K57">
        <v>6038</v>
      </c>
      <c r="L57">
        <v>1581</v>
      </c>
      <c r="M57">
        <v>6.2</v>
      </c>
    </row>
    <row r="58" spans="4:13" x14ac:dyDescent="0.25">
      <c r="D58" t="s">
        <v>1302</v>
      </c>
      <c r="E58">
        <v>12121</v>
      </c>
      <c r="F58">
        <v>1948</v>
      </c>
      <c r="G58">
        <v>6</v>
      </c>
      <c r="H58">
        <v>6214</v>
      </c>
      <c r="I58">
        <v>1288</v>
      </c>
      <c r="J58">
        <v>6.1</v>
      </c>
      <c r="K58">
        <v>5907</v>
      </c>
      <c r="L58">
        <v>1351</v>
      </c>
      <c r="M58">
        <v>6</v>
      </c>
    </row>
    <row r="59" spans="4:13" ht="15.75" customHeight="1" x14ac:dyDescent="0.25">
      <c r="D59" t="s">
        <v>1303</v>
      </c>
      <c r="E59">
        <v>10781</v>
      </c>
      <c r="F59">
        <v>1929</v>
      </c>
      <c r="G59">
        <v>5.4</v>
      </c>
      <c r="H59">
        <v>4401</v>
      </c>
      <c r="I59">
        <v>1086</v>
      </c>
      <c r="J59">
        <v>4.3</v>
      </c>
      <c r="K59">
        <v>6380</v>
      </c>
      <c r="L59">
        <v>1418</v>
      </c>
      <c r="M59">
        <v>6.5</v>
      </c>
    </row>
    <row r="60" spans="4:13" x14ac:dyDescent="0.25">
      <c r="D60" t="s">
        <v>1304</v>
      </c>
      <c r="E60">
        <v>11066</v>
      </c>
      <c r="F60">
        <v>1718</v>
      </c>
      <c r="G60">
        <v>5.5</v>
      </c>
      <c r="H60">
        <v>5845</v>
      </c>
      <c r="I60">
        <v>1191</v>
      </c>
      <c r="J60">
        <v>5.7</v>
      </c>
      <c r="K60">
        <v>5221</v>
      </c>
      <c r="L60">
        <v>1118</v>
      </c>
      <c r="M60">
        <v>5.3</v>
      </c>
    </row>
    <row r="61" spans="4:13" x14ac:dyDescent="0.25">
      <c r="D61" t="s">
        <v>1305</v>
      </c>
      <c r="E61">
        <v>21922</v>
      </c>
      <c r="F61">
        <v>2375</v>
      </c>
      <c r="G61">
        <v>10.9</v>
      </c>
      <c r="H61">
        <v>11451</v>
      </c>
      <c r="I61">
        <v>1863</v>
      </c>
      <c r="J61">
        <v>11.1</v>
      </c>
      <c r="K61">
        <v>10471</v>
      </c>
      <c r="L61">
        <v>1542</v>
      </c>
      <c r="M61">
        <v>10.7</v>
      </c>
    </row>
    <row r="62" spans="4:13" x14ac:dyDescent="0.25">
      <c r="D62" t="s">
        <v>1306</v>
      </c>
      <c r="E62">
        <v>25153</v>
      </c>
      <c r="F62">
        <v>3042</v>
      </c>
      <c r="G62">
        <v>12.5</v>
      </c>
      <c r="H62">
        <v>13149</v>
      </c>
      <c r="I62">
        <v>2000</v>
      </c>
      <c r="J62">
        <v>12.8</v>
      </c>
      <c r="K62">
        <v>12004</v>
      </c>
      <c r="L62">
        <v>1740</v>
      </c>
      <c r="M62">
        <v>12.3</v>
      </c>
    </row>
    <row r="63" spans="4:13" x14ac:dyDescent="0.25">
      <c r="D63" t="s">
        <v>1307</v>
      </c>
      <c r="E63">
        <v>18914</v>
      </c>
      <c r="F63">
        <v>2214</v>
      </c>
      <c r="G63">
        <v>9.4</v>
      </c>
      <c r="H63">
        <v>9847</v>
      </c>
      <c r="I63">
        <v>1505</v>
      </c>
      <c r="J63">
        <v>9.6</v>
      </c>
      <c r="K63">
        <v>9067</v>
      </c>
      <c r="L63">
        <v>1322</v>
      </c>
      <c r="M63">
        <v>9.3000000000000007</v>
      </c>
    </row>
    <row r="64" spans="4:13" x14ac:dyDescent="0.25">
      <c r="D64" t="s">
        <v>1308</v>
      </c>
      <c r="E64">
        <v>16830</v>
      </c>
      <c r="F64">
        <v>2646</v>
      </c>
      <c r="G64">
        <v>8.4</v>
      </c>
      <c r="H64">
        <v>9305</v>
      </c>
      <c r="I64">
        <v>1919</v>
      </c>
      <c r="J64">
        <v>9.1</v>
      </c>
      <c r="K64">
        <v>7525</v>
      </c>
      <c r="L64">
        <v>1381</v>
      </c>
      <c r="M64">
        <v>7.7</v>
      </c>
    </row>
    <row r="65" spans="4:13" x14ac:dyDescent="0.25">
      <c r="D65" t="s">
        <v>1309</v>
      </c>
      <c r="E65">
        <v>12003</v>
      </c>
      <c r="F65">
        <v>1931</v>
      </c>
      <c r="G65">
        <v>6</v>
      </c>
      <c r="H65">
        <v>6582</v>
      </c>
      <c r="I65">
        <v>1277</v>
      </c>
      <c r="J65">
        <v>6.4</v>
      </c>
      <c r="K65">
        <v>5421</v>
      </c>
      <c r="L65">
        <v>1243</v>
      </c>
      <c r="M65">
        <v>5.5</v>
      </c>
    </row>
    <row r="66" spans="4:13" x14ac:dyDescent="0.25">
      <c r="D66" t="s">
        <v>1310</v>
      </c>
      <c r="E66">
        <v>8408</v>
      </c>
      <c r="F66">
        <v>1325</v>
      </c>
      <c r="G66">
        <v>4.2</v>
      </c>
      <c r="H66">
        <v>4794</v>
      </c>
      <c r="I66">
        <v>1011</v>
      </c>
      <c r="J66">
        <v>4.7</v>
      </c>
      <c r="K66">
        <v>3614</v>
      </c>
      <c r="L66">
        <v>887</v>
      </c>
      <c r="M66">
        <v>3.7</v>
      </c>
    </row>
    <row r="67" spans="4:13" x14ac:dyDescent="0.25">
      <c r="D67" t="s">
        <v>1311</v>
      </c>
      <c r="E67">
        <v>9625</v>
      </c>
      <c r="F67">
        <v>1513</v>
      </c>
      <c r="G67">
        <v>4.8</v>
      </c>
      <c r="H67">
        <v>4263</v>
      </c>
      <c r="I67">
        <v>934</v>
      </c>
      <c r="J67">
        <v>4.2</v>
      </c>
      <c r="K67">
        <v>5362</v>
      </c>
      <c r="L67">
        <v>1055</v>
      </c>
      <c r="M67">
        <v>5.5</v>
      </c>
    </row>
    <row r="68" spans="4:13" x14ac:dyDescent="0.25">
      <c r="D68" t="s">
        <v>1312</v>
      </c>
      <c r="E68">
        <v>10072</v>
      </c>
      <c r="F68">
        <v>1509</v>
      </c>
      <c r="G68">
        <v>5</v>
      </c>
      <c r="H68">
        <v>5596</v>
      </c>
      <c r="I68">
        <v>1132</v>
      </c>
      <c r="J68">
        <v>5.4</v>
      </c>
      <c r="K68">
        <v>4476</v>
      </c>
      <c r="L68">
        <v>1104</v>
      </c>
      <c r="M68">
        <v>4.5999999999999996</v>
      </c>
    </row>
    <row r="69" spans="4:13" x14ac:dyDescent="0.25">
      <c r="D69" t="s">
        <v>1313</v>
      </c>
      <c r="E69">
        <v>10420</v>
      </c>
      <c r="F69">
        <v>1759</v>
      </c>
      <c r="G69">
        <v>5.2</v>
      </c>
      <c r="H69">
        <v>5093</v>
      </c>
      <c r="I69">
        <v>1088</v>
      </c>
      <c r="J69">
        <v>5</v>
      </c>
      <c r="K69">
        <v>5327</v>
      </c>
      <c r="L69">
        <v>1055</v>
      </c>
      <c r="M69">
        <v>5.4</v>
      </c>
    </row>
    <row r="70" spans="4:13" x14ac:dyDescent="0.25">
      <c r="D70" t="s">
        <v>1314</v>
      </c>
      <c r="E70">
        <v>7113</v>
      </c>
      <c r="F70">
        <v>1133</v>
      </c>
      <c r="G70">
        <v>3.5</v>
      </c>
      <c r="H70">
        <v>3751</v>
      </c>
      <c r="I70">
        <v>732</v>
      </c>
      <c r="J70">
        <v>3.7</v>
      </c>
      <c r="K70">
        <v>3362</v>
      </c>
      <c r="L70">
        <v>797</v>
      </c>
      <c r="M70">
        <v>3.4</v>
      </c>
    </row>
    <row r="71" spans="4:13" ht="15.75" customHeight="1" x14ac:dyDescent="0.25">
      <c r="D71" t="s">
        <v>1315</v>
      </c>
      <c r="E71">
        <v>5474</v>
      </c>
      <c r="F71">
        <v>1120</v>
      </c>
      <c r="G71">
        <v>2.7</v>
      </c>
      <c r="H71">
        <v>2617</v>
      </c>
      <c r="I71">
        <v>747</v>
      </c>
      <c r="J71">
        <v>2.5</v>
      </c>
      <c r="K71">
        <v>2857</v>
      </c>
      <c r="L71">
        <v>740</v>
      </c>
      <c r="M71">
        <v>2.9</v>
      </c>
    </row>
    <row r="72" spans="4:13" ht="15.75" customHeight="1" x14ac:dyDescent="0.25">
      <c r="D72" t="s">
        <v>1316</v>
      </c>
      <c r="E72">
        <v>3612</v>
      </c>
      <c r="F72">
        <v>843</v>
      </c>
      <c r="G72">
        <v>1.8</v>
      </c>
      <c r="H72">
        <v>1470</v>
      </c>
      <c r="I72">
        <v>434</v>
      </c>
      <c r="J72">
        <v>1.4</v>
      </c>
      <c r="K72">
        <v>2142</v>
      </c>
      <c r="L72">
        <v>638</v>
      </c>
      <c r="M72">
        <v>2.2000000000000002</v>
      </c>
    </row>
    <row r="73" spans="4:13" ht="15.75" customHeight="1" x14ac:dyDescent="0.25">
      <c r="D73" t="s">
        <v>1317</v>
      </c>
      <c r="E73">
        <v>2879</v>
      </c>
      <c r="F73">
        <v>760</v>
      </c>
      <c r="G73">
        <v>1.4</v>
      </c>
      <c r="H73">
        <v>1247</v>
      </c>
      <c r="I73">
        <v>467</v>
      </c>
      <c r="J73">
        <v>1.2</v>
      </c>
      <c r="K73">
        <v>1632</v>
      </c>
      <c r="L73">
        <v>500</v>
      </c>
      <c r="M73">
        <v>1.7</v>
      </c>
    </row>
    <row r="74" spans="4:13" x14ac:dyDescent="0.25">
      <c r="D74" t="s">
        <v>1318</v>
      </c>
      <c r="E74">
        <v>1873</v>
      </c>
      <c r="F74">
        <v>625</v>
      </c>
      <c r="G74">
        <v>0.9</v>
      </c>
      <c r="H74">
        <v>812</v>
      </c>
      <c r="I74">
        <v>398</v>
      </c>
      <c r="J74">
        <v>0.8</v>
      </c>
      <c r="K74">
        <v>1061</v>
      </c>
      <c r="L74">
        <v>462</v>
      </c>
      <c r="M74">
        <v>1.1000000000000001</v>
      </c>
    </row>
  </sheetData>
  <mergeCells count="4">
    <mergeCell ref="D3:K3"/>
    <mergeCell ref="K54:M54"/>
    <mergeCell ref="H54:J54"/>
    <mergeCell ref="E28:AC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2197-37C3-4A81-A7EA-927B2138A00C}">
  <dimension ref="B3:AC62"/>
  <sheetViews>
    <sheetView workbookViewId="0">
      <selection activeCell="AE20" sqref="AE20"/>
    </sheetView>
  </sheetViews>
  <sheetFormatPr defaultRowHeight="15" x14ac:dyDescent="0.25"/>
  <cols>
    <col min="2" max="2" width="13.7109375" bestFit="1" customWidth="1"/>
    <col min="3" max="3" width="3" bestFit="1" customWidth="1"/>
    <col min="4" max="4" width="20" bestFit="1" customWidth="1"/>
    <col min="5" max="5" width="12.28515625" bestFit="1" customWidth="1"/>
    <col min="6" max="7" width="14.140625" bestFit="1" customWidth="1"/>
    <col min="8" max="8" width="12.140625" bestFit="1" customWidth="1"/>
    <col min="9" max="9" width="16.28515625" bestFit="1" customWidth="1"/>
    <col min="10" max="10" width="9" bestFit="1" customWidth="1"/>
    <col min="11" max="11" width="12" bestFit="1" customWidth="1"/>
    <col min="12" max="12" width="13.28515625" bestFit="1" customWidth="1"/>
    <col min="13" max="13" width="11.28515625" bestFit="1" customWidth="1"/>
    <col min="14" max="15" width="14" bestFit="1" customWidth="1"/>
    <col min="16" max="16" width="15" bestFit="1" customWidth="1"/>
    <col min="17" max="17" width="10.5703125" bestFit="1" customWidth="1"/>
    <col min="18" max="18" width="10.7109375" bestFit="1" customWidth="1"/>
    <col min="19" max="19" width="9" bestFit="1" customWidth="1"/>
    <col min="20" max="20" width="8.85546875" bestFit="1" customWidth="1"/>
    <col min="21" max="21" width="13.28515625" bestFit="1" customWidth="1"/>
    <col min="22" max="22" width="7" bestFit="1" customWidth="1"/>
    <col min="23" max="23" width="14.28515625" bestFit="1" customWidth="1"/>
    <col min="24" max="24" width="13.140625" bestFit="1" customWidth="1"/>
    <col min="25" max="25" width="8.140625" bestFit="1" customWidth="1"/>
    <col min="26" max="26" width="5.28515625" bestFit="1" customWidth="1"/>
    <col min="27" max="27" width="5.5703125" bestFit="1" customWidth="1"/>
    <col min="28" max="28" width="7" bestFit="1" customWidth="1"/>
    <col min="29" max="29" width="7.140625" bestFit="1" customWidth="1"/>
  </cols>
  <sheetData>
    <row r="3" spans="4:13" ht="19.5" thickBot="1" x14ac:dyDescent="0.35">
      <c r="D3" s="171">
        <v>2019</v>
      </c>
      <c r="E3" s="171"/>
      <c r="F3" s="171"/>
      <c r="G3" s="171"/>
      <c r="H3" s="171"/>
      <c r="I3" s="171"/>
      <c r="J3" s="171"/>
      <c r="K3" s="171"/>
    </row>
    <row r="4" spans="4:13" ht="45.75" thickBot="1" x14ac:dyDescent="0.3">
      <c r="D4" s="10" t="s">
        <v>1</v>
      </c>
      <c r="E4" s="5" t="s">
        <v>2</v>
      </c>
      <c r="F4" s="5" t="s">
        <v>3</v>
      </c>
      <c r="G4" s="5" t="s">
        <v>4</v>
      </c>
      <c r="H4" s="5" t="s">
        <v>9</v>
      </c>
      <c r="I4" s="6" t="s">
        <v>6</v>
      </c>
      <c r="J4" s="14" t="s">
        <v>7</v>
      </c>
      <c r="K4" s="30" t="s">
        <v>8</v>
      </c>
      <c r="L4" t="s">
        <v>42</v>
      </c>
      <c r="M4" t="s">
        <v>34</v>
      </c>
    </row>
    <row r="5" spans="4:13" x14ac:dyDescent="0.25">
      <c r="D5" s="17">
        <f>22269+17177</f>
        <v>39446</v>
      </c>
      <c r="E5" s="18">
        <v>-39306</v>
      </c>
      <c r="F5" s="8" t="e">
        <f>D5/G5</f>
        <v>#DIV/0!</v>
      </c>
      <c r="G5" s="18">
        <v>0</v>
      </c>
      <c r="H5" s="18">
        <v>110</v>
      </c>
      <c r="I5" s="19">
        <v>1069</v>
      </c>
      <c r="J5" s="31">
        <v>38</v>
      </c>
      <c r="K5" s="16">
        <v>1.45</v>
      </c>
      <c r="L5" s="15">
        <f>H5*100</f>
        <v>11000</v>
      </c>
      <c r="M5" s="15">
        <f>L5/43560</f>
        <v>0.25252525252525254</v>
      </c>
    </row>
    <row r="6" spans="4:13" x14ac:dyDescent="0.25">
      <c r="D6" s="20">
        <f>14058+43955</f>
        <v>58013</v>
      </c>
      <c r="E6" s="8">
        <v>-51343</v>
      </c>
      <c r="F6" s="8">
        <f>D6/G6</f>
        <v>98.494057724957557</v>
      </c>
      <c r="G6" s="8">
        <v>589</v>
      </c>
      <c r="H6" s="8">
        <v>144</v>
      </c>
      <c r="I6" s="16">
        <v>1332</v>
      </c>
      <c r="J6" s="31">
        <v>44</v>
      </c>
      <c r="K6" s="16">
        <v>1.48</v>
      </c>
      <c r="L6" s="15">
        <f t="shared" ref="L6:L16" si="0">H6*100</f>
        <v>14400</v>
      </c>
      <c r="M6" s="15">
        <f t="shared" ref="M6:M16" si="1">L6/43560</f>
        <v>0.33057851239669422</v>
      </c>
    </row>
    <row r="7" spans="4:13" x14ac:dyDescent="0.25">
      <c r="D7" s="20">
        <f>24273+91836</f>
        <v>116109</v>
      </c>
      <c r="E7" s="8">
        <v>-60632</v>
      </c>
      <c r="F7" s="8">
        <f t="shared" ref="F7:F15" si="2">D7/G7</f>
        <v>34.535693039857229</v>
      </c>
      <c r="G7" s="8">
        <v>3362</v>
      </c>
      <c r="H7" s="8">
        <v>133</v>
      </c>
      <c r="I7" s="16">
        <v>1201</v>
      </c>
      <c r="J7" s="31">
        <v>53</v>
      </c>
      <c r="K7" s="16">
        <v>2.2200000000000002</v>
      </c>
      <c r="L7" s="15">
        <f t="shared" si="0"/>
        <v>13300</v>
      </c>
      <c r="M7" s="15">
        <f t="shared" si="1"/>
        <v>0.30532598714416898</v>
      </c>
    </row>
    <row r="8" spans="4:13" x14ac:dyDescent="0.25">
      <c r="D8" s="20">
        <f>50713+30972</f>
        <v>81685</v>
      </c>
      <c r="E8" s="8">
        <v>-12346</v>
      </c>
      <c r="F8" s="8">
        <f t="shared" si="2"/>
        <v>20.565206445115809</v>
      </c>
      <c r="G8" s="8">
        <v>3972</v>
      </c>
      <c r="H8" s="8">
        <v>260</v>
      </c>
      <c r="I8" s="16">
        <v>1570</v>
      </c>
      <c r="J8" s="31">
        <v>61</v>
      </c>
      <c r="K8" s="16">
        <v>2.33</v>
      </c>
      <c r="L8" s="15">
        <f t="shared" si="0"/>
        <v>26000</v>
      </c>
      <c r="M8" s="15">
        <f t="shared" si="1"/>
        <v>0.59687786960514233</v>
      </c>
    </row>
    <row r="9" spans="4:13" x14ac:dyDescent="0.25">
      <c r="D9" s="20">
        <f>50608+42543</f>
        <v>93151</v>
      </c>
      <c r="E9" s="8">
        <v>-10213</v>
      </c>
      <c r="F9" s="8">
        <f t="shared" si="2"/>
        <v>16.878238811378871</v>
      </c>
      <c r="G9" s="8">
        <v>5519</v>
      </c>
      <c r="H9" s="8">
        <v>264</v>
      </c>
      <c r="I9" s="16">
        <v>1537</v>
      </c>
      <c r="J9" s="31">
        <v>71</v>
      </c>
      <c r="K9" s="16">
        <v>2.1</v>
      </c>
      <c r="L9" s="15">
        <f t="shared" si="0"/>
        <v>26400</v>
      </c>
      <c r="M9" s="15">
        <f t="shared" si="1"/>
        <v>0.60606060606060608</v>
      </c>
    </row>
    <row r="10" spans="4:13" x14ac:dyDescent="0.25">
      <c r="D10" s="20">
        <f>46614+45849</f>
        <v>92463</v>
      </c>
      <c r="E10" s="8">
        <v>46206</v>
      </c>
      <c r="F10" s="8">
        <f t="shared" si="2"/>
        <v>13.279190004308488</v>
      </c>
      <c r="G10" s="8">
        <v>6963</v>
      </c>
      <c r="H10" s="8">
        <v>5095</v>
      </c>
      <c r="I10" s="16">
        <v>2252</v>
      </c>
      <c r="J10" s="8">
        <v>82</v>
      </c>
      <c r="K10" s="16">
        <v>1.1299999999999999</v>
      </c>
      <c r="L10" s="15">
        <f t="shared" si="0"/>
        <v>509500</v>
      </c>
      <c r="M10" s="15">
        <f t="shared" si="1"/>
        <v>11.696510560146924</v>
      </c>
    </row>
    <row r="11" spans="4:13" x14ac:dyDescent="0.25">
      <c r="D11" s="20">
        <f>57724+45824</f>
        <v>103548</v>
      </c>
      <c r="E11" s="8">
        <v>-2796</v>
      </c>
      <c r="F11" s="8">
        <f t="shared" si="2"/>
        <v>15.306430155210643</v>
      </c>
      <c r="G11" s="8">
        <v>6765</v>
      </c>
      <c r="H11" s="8">
        <v>19534</v>
      </c>
      <c r="I11" s="16">
        <v>2434</v>
      </c>
      <c r="J11" s="8">
        <v>90</v>
      </c>
      <c r="K11" s="16">
        <v>0.59</v>
      </c>
      <c r="L11" s="15">
        <f t="shared" si="0"/>
        <v>1953400</v>
      </c>
      <c r="M11" s="15">
        <f t="shared" si="1"/>
        <v>44.843893480257115</v>
      </c>
    </row>
    <row r="12" spans="4:13" x14ac:dyDescent="0.25">
      <c r="D12" s="20">
        <f>69839+32645</f>
        <v>102484</v>
      </c>
      <c r="E12" s="8">
        <v>12290</v>
      </c>
      <c r="F12" s="8">
        <f t="shared" si="2"/>
        <v>12.878110077909023</v>
      </c>
      <c r="G12" s="8">
        <v>7958</v>
      </c>
      <c r="H12" s="8">
        <v>30339</v>
      </c>
      <c r="I12" s="16">
        <v>12643</v>
      </c>
      <c r="J12" s="8">
        <v>89</v>
      </c>
      <c r="K12" s="16">
        <v>0.71</v>
      </c>
      <c r="L12" s="15">
        <f t="shared" si="0"/>
        <v>3033900</v>
      </c>
      <c r="M12" s="15">
        <f t="shared" si="1"/>
        <v>69.648760330578511</v>
      </c>
    </row>
    <row r="13" spans="4:13" x14ac:dyDescent="0.25">
      <c r="D13" s="20">
        <f>37592+51608</f>
        <v>89200</v>
      </c>
      <c r="E13" s="8">
        <v>5889</v>
      </c>
      <c r="F13" s="8">
        <f t="shared" si="2"/>
        <v>16.710378418883476</v>
      </c>
      <c r="G13" s="8">
        <v>5338</v>
      </c>
      <c r="H13" s="8">
        <v>27728</v>
      </c>
      <c r="I13" s="16">
        <v>11748</v>
      </c>
      <c r="J13" s="8">
        <v>78</v>
      </c>
      <c r="K13" s="16">
        <v>1.52</v>
      </c>
      <c r="L13" s="15">
        <f t="shared" si="0"/>
        <v>2772800</v>
      </c>
      <c r="M13" s="15">
        <f t="shared" si="1"/>
        <v>63.654729109274562</v>
      </c>
    </row>
    <row r="14" spans="4:13" x14ac:dyDescent="0.25">
      <c r="D14" s="20">
        <f>88908+28029</f>
        <v>116937</v>
      </c>
      <c r="E14" s="8">
        <v>-57008</v>
      </c>
      <c r="F14" s="8">
        <f t="shared" si="2"/>
        <v>30.539827631235308</v>
      </c>
      <c r="G14" s="8">
        <v>3829</v>
      </c>
      <c r="H14" s="8">
        <v>6487</v>
      </c>
      <c r="I14" s="16">
        <v>4013</v>
      </c>
      <c r="J14" s="8">
        <v>65</v>
      </c>
      <c r="K14" s="16">
        <v>1.64</v>
      </c>
      <c r="L14" s="15">
        <f t="shared" si="0"/>
        <v>648700</v>
      </c>
      <c r="M14" s="15">
        <f t="shared" si="1"/>
        <v>14.892102846648301</v>
      </c>
    </row>
    <row r="15" spans="4:13" x14ac:dyDescent="0.25">
      <c r="D15" s="20">
        <f>35229+23575</f>
        <v>58804</v>
      </c>
      <c r="E15" s="8">
        <v>-26690</v>
      </c>
      <c r="F15" s="8">
        <f t="shared" si="2"/>
        <v>22.880933852140078</v>
      </c>
      <c r="G15" s="8">
        <v>2570</v>
      </c>
      <c r="H15" s="8">
        <v>4483</v>
      </c>
      <c r="I15" s="16">
        <v>3453</v>
      </c>
      <c r="J15" s="8">
        <v>50</v>
      </c>
      <c r="K15" s="16">
        <v>1.78</v>
      </c>
      <c r="L15" s="15">
        <f t="shared" si="0"/>
        <v>448300</v>
      </c>
      <c r="M15" s="15">
        <f t="shared" si="1"/>
        <v>10.291551882460974</v>
      </c>
    </row>
    <row r="16" spans="4:13" ht="15.75" thickBot="1" x14ac:dyDescent="0.3">
      <c r="D16" s="22">
        <f>27589+18368</f>
        <v>45957</v>
      </c>
      <c r="E16" s="9">
        <v>-38561</v>
      </c>
      <c r="F16" s="9">
        <f>D16/G16</f>
        <v>90.46653543307086</v>
      </c>
      <c r="G16" s="9">
        <v>508</v>
      </c>
      <c r="H16" s="9">
        <v>290</v>
      </c>
      <c r="I16" s="21">
        <v>1884</v>
      </c>
      <c r="J16" s="9">
        <v>40</v>
      </c>
      <c r="K16" s="21">
        <v>1.62</v>
      </c>
      <c r="L16" s="15">
        <f t="shared" si="0"/>
        <v>29000</v>
      </c>
      <c r="M16" s="15">
        <f t="shared" si="1"/>
        <v>0.66574839302112032</v>
      </c>
    </row>
    <row r="17" spans="2:29" x14ac:dyDescent="0.25">
      <c r="D17" s="15">
        <f>SUM(D5:D16)</f>
        <v>997797</v>
      </c>
      <c r="E17" s="15">
        <f>SUM(E5:E16)</f>
        <v>-234510</v>
      </c>
      <c r="G17" s="15">
        <f>SUM(G5:G16)</f>
        <v>47373</v>
      </c>
      <c r="H17" s="15">
        <f>SUM(H5:H16)</f>
        <v>94867</v>
      </c>
      <c r="I17" s="15">
        <f>SUM(I5:I16)</f>
        <v>45136</v>
      </c>
    </row>
    <row r="19" spans="2:29" x14ac:dyDescent="0.25">
      <c r="F19">
        <f>I17/D17</f>
        <v>4.5235654146083826E-2</v>
      </c>
    </row>
    <row r="20" spans="2:29" ht="15.75" thickBot="1" x14ac:dyDescent="0.3"/>
    <row r="21" spans="2:29" ht="18.75" x14ac:dyDescent="0.3">
      <c r="E21" s="134">
        <v>2018</v>
      </c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</row>
    <row r="22" spans="2:29" ht="60" x14ac:dyDescent="0.25">
      <c r="B22" t="s">
        <v>1262</v>
      </c>
      <c r="D22" t="s">
        <v>1339</v>
      </c>
      <c r="E22" s="43" t="s">
        <v>39</v>
      </c>
      <c r="F22" s="40" t="s">
        <v>2</v>
      </c>
      <c r="G22" s="40" t="s">
        <v>40</v>
      </c>
      <c r="H22" s="40" t="s">
        <v>41</v>
      </c>
      <c r="I22" s="40"/>
      <c r="J22" s="40" t="s">
        <v>3</v>
      </c>
      <c r="K22" s="44" t="s">
        <v>1254</v>
      </c>
      <c r="L22" s="40" t="s">
        <v>1256</v>
      </c>
      <c r="M22" s="40" t="s">
        <v>46</v>
      </c>
      <c r="N22" s="40" t="s">
        <v>1258</v>
      </c>
      <c r="O22" s="40" t="s">
        <v>1271</v>
      </c>
      <c r="P22" s="40" t="s">
        <v>1255</v>
      </c>
      <c r="Q22" s="40" t="s">
        <v>5</v>
      </c>
      <c r="R22" s="40" t="s">
        <v>6</v>
      </c>
      <c r="S22" s="40" t="s">
        <v>7</v>
      </c>
      <c r="T22" s="40" t="s">
        <v>8</v>
      </c>
      <c r="U22" s="40" t="s">
        <v>42</v>
      </c>
      <c r="V22" s="40" t="s">
        <v>34</v>
      </c>
      <c r="W22" s="40" t="s">
        <v>44</v>
      </c>
      <c r="X22" s="120" t="s">
        <v>45</v>
      </c>
      <c r="Y22" s="40" t="s">
        <v>1249</v>
      </c>
      <c r="Z22" s="40" t="s">
        <v>1250</v>
      </c>
      <c r="AA22" s="40" t="s">
        <v>1251</v>
      </c>
      <c r="AB22" s="40" t="s">
        <v>1259</v>
      </c>
      <c r="AC22" s="115" t="s">
        <v>1248</v>
      </c>
    </row>
    <row r="23" spans="2:29" x14ac:dyDescent="0.25">
      <c r="B23" s="42">
        <f t="shared" ref="B23:B34" si="3">F23-AA23</f>
        <v>-39344</v>
      </c>
      <c r="C23">
        <v>31</v>
      </c>
      <c r="D23" s="28" t="s">
        <v>10</v>
      </c>
      <c r="E23" s="17">
        <f>22269+17177</f>
        <v>39446</v>
      </c>
      <c r="F23" s="18">
        <v>-39306</v>
      </c>
      <c r="G23" s="11">
        <f>E23+F23</f>
        <v>140</v>
      </c>
      <c r="H23" s="11"/>
      <c r="I23" s="11"/>
      <c r="J23" s="8" t="e">
        <f>E23/L23</f>
        <v>#DIV/0!</v>
      </c>
      <c r="K23" s="8"/>
      <c r="L23" s="18">
        <v>0</v>
      </c>
      <c r="M23" s="8"/>
      <c r="N23" s="8"/>
      <c r="O23" s="8"/>
      <c r="P23" s="8"/>
      <c r="Q23" s="18">
        <v>110</v>
      </c>
      <c r="R23" s="19">
        <v>1069</v>
      </c>
      <c r="S23" s="31">
        <v>38</v>
      </c>
      <c r="T23" s="8"/>
      <c r="U23" s="111">
        <f>Q23*100</f>
        <v>11000</v>
      </c>
      <c r="V23" s="111">
        <f>U23/43560</f>
        <v>0.25252525252525254</v>
      </c>
      <c r="W23" s="111">
        <f>U23*7.841</f>
        <v>86251</v>
      </c>
      <c r="X23" s="111">
        <f>W23/C23</f>
        <v>2782.2903225806454</v>
      </c>
      <c r="Y23" s="112">
        <v>0.40143555854241336</v>
      </c>
      <c r="Z23" s="113">
        <v>9</v>
      </c>
      <c r="AA23" s="114">
        <v>38</v>
      </c>
      <c r="AB23" s="114">
        <f>Z23-2</f>
        <v>7</v>
      </c>
      <c r="AC23" s="116">
        <v>9.6443410899063539E-3</v>
      </c>
    </row>
    <row r="24" spans="2:29" x14ac:dyDescent="0.25">
      <c r="B24" s="42">
        <f t="shared" si="3"/>
        <v>-51383</v>
      </c>
      <c r="C24">
        <v>28</v>
      </c>
      <c r="D24" s="28" t="s">
        <v>11</v>
      </c>
      <c r="E24" s="20">
        <f>14058+43955</f>
        <v>58013</v>
      </c>
      <c r="F24" s="8">
        <v>-51343</v>
      </c>
      <c r="G24" s="11">
        <f>E24+F24</f>
        <v>6670</v>
      </c>
      <c r="H24" s="11">
        <f t="shared" ref="H24:H35" si="4">G24/L24</f>
        <v>11.324278438030561</v>
      </c>
      <c r="I24" s="11">
        <f t="shared" ref="I24:I34" si="5">G24*L24-C24</f>
        <v>3928602</v>
      </c>
      <c r="J24" s="8">
        <f>E24/L24</f>
        <v>98.494057724957557</v>
      </c>
      <c r="K24" s="99">
        <v>4746.7262520831509</v>
      </c>
      <c r="L24" s="8">
        <v>589</v>
      </c>
      <c r="M24" s="8">
        <f>L24-K24</f>
        <v>-4157.7262520831509</v>
      </c>
      <c r="N24" s="8">
        <f t="shared" ref="N24:N34" si="6">((AB24*60+AA24)*B24)/10</f>
        <v>-2671916</v>
      </c>
      <c r="O24" s="8">
        <f>N24*0.6</f>
        <v>-1603149.5999999999</v>
      </c>
      <c r="P24" s="8">
        <f>O24*4</f>
        <v>-6412598.3999999994</v>
      </c>
      <c r="Q24" s="8">
        <v>144</v>
      </c>
      <c r="R24" s="16">
        <v>1332</v>
      </c>
      <c r="S24" s="31">
        <v>44</v>
      </c>
      <c r="T24" s="8"/>
      <c r="U24" s="111">
        <f t="shared" ref="U24:U34" si="7">Q24*100</f>
        <v>14400</v>
      </c>
      <c r="V24" s="111">
        <f t="shared" ref="V24:V34" si="8">U24/43560</f>
        <v>0.33057851239669422</v>
      </c>
      <c r="W24" s="111">
        <f t="shared" ref="W24:W34" si="9">U24*7.841</f>
        <v>112910.40000000001</v>
      </c>
      <c r="X24" s="111">
        <f t="shared" ref="X24:X34" si="10">W24/C24</f>
        <v>4032.514285714286</v>
      </c>
      <c r="Y24" s="112">
        <v>0.44470785440613025</v>
      </c>
      <c r="Z24" s="113">
        <v>10</v>
      </c>
      <c r="AA24" s="114">
        <v>40</v>
      </c>
      <c r="AB24" s="114">
        <f t="shared" ref="AB24:AB34" si="11">Z24-2</f>
        <v>8</v>
      </c>
      <c r="AC24" s="116">
        <v>1.4487120172309707E-2</v>
      </c>
    </row>
    <row r="25" spans="2:29" x14ac:dyDescent="0.25">
      <c r="B25" s="42">
        <f t="shared" si="3"/>
        <v>-60632</v>
      </c>
      <c r="C25">
        <v>31</v>
      </c>
      <c r="D25" s="28" t="s">
        <v>12</v>
      </c>
      <c r="E25" s="20">
        <f>24273+91836</f>
        <v>116109</v>
      </c>
      <c r="F25" s="8">
        <v>-60632</v>
      </c>
      <c r="G25" s="11">
        <f t="shared" ref="G25:G34" si="12">E25+F25</f>
        <v>55477</v>
      </c>
      <c r="H25" s="11">
        <f t="shared" si="4"/>
        <v>16.501189767995243</v>
      </c>
      <c r="I25" s="11">
        <f t="shared" si="5"/>
        <v>186513643</v>
      </c>
      <c r="J25" s="8">
        <f t="shared" ref="J25:J33" si="13">E25/L25</f>
        <v>34.535693039857229</v>
      </c>
      <c r="K25" s="99">
        <v>7022.3504936752788</v>
      </c>
      <c r="L25" s="8">
        <v>3362</v>
      </c>
      <c r="M25" s="8">
        <f t="shared" ref="M25:M29" si="14">L25-K25</f>
        <v>-3660.3504936752788</v>
      </c>
      <c r="N25" s="8">
        <f t="shared" si="6"/>
        <v>-3637920</v>
      </c>
      <c r="O25" s="8">
        <f t="shared" ref="O25:O35" si="15">N25*0.6</f>
        <v>-2182752</v>
      </c>
      <c r="P25" s="8">
        <f t="shared" ref="P25:P34" si="16">O25*4</f>
        <v>-8731008</v>
      </c>
      <c r="Q25" s="8">
        <v>133</v>
      </c>
      <c r="R25" s="16">
        <v>1201</v>
      </c>
      <c r="S25" s="31">
        <v>53</v>
      </c>
      <c r="T25" s="8"/>
      <c r="U25" s="111">
        <f t="shared" si="7"/>
        <v>13300</v>
      </c>
      <c r="V25" s="111">
        <f t="shared" si="8"/>
        <v>0.30532598714416898</v>
      </c>
      <c r="W25" s="111">
        <f t="shared" si="9"/>
        <v>104285.3</v>
      </c>
      <c r="X25" s="111">
        <f t="shared" si="10"/>
        <v>3364.0419354838709</v>
      </c>
      <c r="Y25" s="112">
        <v>0.50056635802469152</v>
      </c>
      <c r="Z25" s="113">
        <v>12</v>
      </c>
      <c r="AA25" s="114">
        <v>0</v>
      </c>
      <c r="AB25" s="114">
        <f t="shared" si="11"/>
        <v>10</v>
      </c>
      <c r="AC25" s="116">
        <v>1.6321592739403375E-2</v>
      </c>
    </row>
    <row r="26" spans="2:29" x14ac:dyDescent="0.25">
      <c r="B26" s="42">
        <f t="shared" si="3"/>
        <v>-12366</v>
      </c>
      <c r="C26">
        <v>30</v>
      </c>
      <c r="D26" s="28" t="s">
        <v>13</v>
      </c>
      <c r="E26" s="20">
        <f>50713+30972</f>
        <v>81685</v>
      </c>
      <c r="F26" s="8">
        <v>-12346</v>
      </c>
      <c r="G26" s="11">
        <f t="shared" si="12"/>
        <v>69339</v>
      </c>
      <c r="H26" s="11">
        <f t="shared" si="4"/>
        <v>17.456948640483382</v>
      </c>
      <c r="I26" s="11">
        <f t="shared" si="5"/>
        <v>275414478</v>
      </c>
      <c r="J26" s="8">
        <f t="shared" si="13"/>
        <v>20.565206445115809</v>
      </c>
      <c r="K26" s="99">
        <v>5135.3996093011501</v>
      </c>
      <c r="L26" s="8">
        <v>3972</v>
      </c>
      <c r="M26" s="8">
        <f t="shared" si="14"/>
        <v>-1163.3996093011501</v>
      </c>
      <c r="N26" s="8">
        <f t="shared" si="6"/>
        <v>-840888</v>
      </c>
      <c r="O26" s="8">
        <f t="shared" si="15"/>
        <v>-504532.8</v>
      </c>
      <c r="P26" s="8">
        <f t="shared" si="16"/>
        <v>-2018131.2</v>
      </c>
      <c r="Q26" s="8">
        <v>260</v>
      </c>
      <c r="R26" s="16">
        <v>1570</v>
      </c>
      <c r="S26" s="31">
        <v>61</v>
      </c>
      <c r="T26" s="8"/>
      <c r="U26" s="111">
        <f t="shared" si="7"/>
        <v>26000</v>
      </c>
      <c r="V26" s="111">
        <f t="shared" si="8"/>
        <v>0.59687786960514233</v>
      </c>
      <c r="W26" s="111">
        <f t="shared" si="9"/>
        <v>203866</v>
      </c>
      <c r="X26" s="111">
        <f t="shared" si="10"/>
        <v>6795.5333333333338</v>
      </c>
      <c r="Y26" s="112">
        <v>0.55598611111111096</v>
      </c>
      <c r="Z26" s="113">
        <v>13</v>
      </c>
      <c r="AA26" s="114">
        <v>20</v>
      </c>
      <c r="AB26" s="114">
        <f t="shared" si="11"/>
        <v>11</v>
      </c>
      <c r="AC26" s="116">
        <v>1.5364251045557048E-2</v>
      </c>
    </row>
    <row r="27" spans="2:29" x14ac:dyDescent="0.25">
      <c r="B27" s="42">
        <f t="shared" si="3"/>
        <v>-10242</v>
      </c>
      <c r="C27">
        <v>31</v>
      </c>
      <c r="D27" s="28" t="s">
        <v>14</v>
      </c>
      <c r="E27" s="20">
        <f>50608+42543</f>
        <v>93151</v>
      </c>
      <c r="F27" s="8">
        <v>-10213</v>
      </c>
      <c r="G27" s="11">
        <f t="shared" si="12"/>
        <v>82938</v>
      </c>
      <c r="H27" s="11">
        <f t="shared" si="4"/>
        <v>15.027722413480703</v>
      </c>
      <c r="I27" s="11">
        <f t="shared" si="5"/>
        <v>457734791</v>
      </c>
      <c r="J27" s="8">
        <f t="shared" si="13"/>
        <v>16.878238811378871</v>
      </c>
      <c r="K27" s="99">
        <v>6884.1905847639482</v>
      </c>
      <c r="L27" s="8">
        <v>5519</v>
      </c>
      <c r="M27" s="8">
        <f t="shared" si="14"/>
        <v>-1365.1905847639482</v>
      </c>
      <c r="N27" s="8">
        <f t="shared" si="6"/>
        <v>-767125.8</v>
      </c>
      <c r="O27" s="8">
        <f t="shared" si="15"/>
        <v>-460275.48000000004</v>
      </c>
      <c r="P27" s="8">
        <f t="shared" si="16"/>
        <v>-1841101.9200000002</v>
      </c>
      <c r="Q27" s="8">
        <v>264</v>
      </c>
      <c r="R27" s="16">
        <v>1537</v>
      </c>
      <c r="S27" s="31">
        <v>71</v>
      </c>
      <c r="T27" s="8"/>
      <c r="U27" s="111">
        <f t="shared" si="7"/>
        <v>26400</v>
      </c>
      <c r="V27" s="111">
        <f t="shared" si="8"/>
        <v>0.60606060606060608</v>
      </c>
      <c r="W27" s="111">
        <f t="shared" si="9"/>
        <v>207002.4</v>
      </c>
      <c r="X27" s="111">
        <f t="shared" si="10"/>
        <v>6677.4967741935479</v>
      </c>
      <c r="Y27" s="112">
        <v>0.60354502688172063</v>
      </c>
      <c r="Z27" s="113">
        <v>14</v>
      </c>
      <c r="AA27" s="114">
        <v>29</v>
      </c>
      <c r="AB27" s="114">
        <f t="shared" si="11"/>
        <v>12</v>
      </c>
      <c r="AC27" s="116">
        <v>1.1439844472405666E-2</v>
      </c>
    </row>
    <row r="28" spans="2:29" x14ac:dyDescent="0.25">
      <c r="B28" s="42">
        <f t="shared" si="3"/>
        <v>46203</v>
      </c>
      <c r="C28">
        <v>30</v>
      </c>
      <c r="D28" s="28" t="s">
        <v>15</v>
      </c>
      <c r="E28" s="20">
        <f>46614+45849</f>
        <v>92463</v>
      </c>
      <c r="F28" s="8">
        <v>46206</v>
      </c>
      <c r="G28" s="11">
        <f t="shared" si="12"/>
        <v>138669</v>
      </c>
      <c r="H28" s="11">
        <f t="shared" si="4"/>
        <v>19.915122791900043</v>
      </c>
      <c r="I28" s="11">
        <f t="shared" si="5"/>
        <v>965552217</v>
      </c>
      <c r="J28" s="8">
        <f t="shared" si="13"/>
        <v>13.279190004308488</v>
      </c>
      <c r="K28" s="99">
        <v>6445</v>
      </c>
      <c r="L28" s="8">
        <v>6963</v>
      </c>
      <c r="M28" s="8">
        <f t="shared" si="14"/>
        <v>518</v>
      </c>
      <c r="N28" s="8">
        <f t="shared" si="6"/>
        <v>3617694.9</v>
      </c>
      <c r="O28" s="8">
        <f t="shared" si="15"/>
        <v>2170616.94</v>
      </c>
      <c r="P28" s="8">
        <f t="shared" si="16"/>
        <v>8682467.7599999998</v>
      </c>
      <c r="Q28" s="8">
        <v>5095</v>
      </c>
      <c r="R28" s="16">
        <v>2252</v>
      </c>
      <c r="S28" s="8">
        <v>82</v>
      </c>
      <c r="T28" s="8"/>
      <c r="U28" s="111">
        <f t="shared" si="7"/>
        <v>509500</v>
      </c>
      <c r="V28" s="111">
        <f t="shared" si="8"/>
        <v>11.696510560146924</v>
      </c>
      <c r="W28" s="111">
        <f t="shared" si="9"/>
        <v>3994989.5</v>
      </c>
      <c r="X28" s="111">
        <f t="shared" si="10"/>
        <v>133166.31666666668</v>
      </c>
      <c r="Y28" s="112">
        <v>0.62710493827160485</v>
      </c>
      <c r="Z28" s="113">
        <v>15</v>
      </c>
      <c r="AA28" s="114">
        <v>3</v>
      </c>
      <c r="AB28" s="114">
        <f t="shared" si="11"/>
        <v>13</v>
      </c>
      <c r="AC28" s="116">
        <v>2.2073790006837618E-3</v>
      </c>
    </row>
    <row r="29" spans="2:29" x14ac:dyDescent="0.25">
      <c r="B29" s="42">
        <f t="shared" si="3"/>
        <v>-2840</v>
      </c>
      <c r="C29">
        <v>31</v>
      </c>
      <c r="D29" s="28" t="s">
        <v>16</v>
      </c>
      <c r="E29" s="20">
        <f>57724+45824</f>
        <v>103548</v>
      </c>
      <c r="F29" s="8">
        <v>-2796</v>
      </c>
      <c r="G29" s="11">
        <f t="shared" si="12"/>
        <v>100752</v>
      </c>
      <c r="H29" s="11">
        <f t="shared" si="4"/>
        <v>14.893126385809312</v>
      </c>
      <c r="I29" s="11">
        <f t="shared" si="5"/>
        <v>681587249</v>
      </c>
      <c r="J29" s="8">
        <f t="shared" si="13"/>
        <v>15.306430155210643</v>
      </c>
      <c r="K29" s="99">
        <v>6042</v>
      </c>
      <c r="L29" s="8">
        <v>6765</v>
      </c>
      <c r="M29" s="8">
        <f t="shared" si="14"/>
        <v>723</v>
      </c>
      <c r="N29" s="8">
        <f t="shared" si="6"/>
        <v>-216976</v>
      </c>
      <c r="O29" s="8">
        <f t="shared" si="15"/>
        <v>-130185.59999999999</v>
      </c>
      <c r="P29" s="8">
        <f t="shared" si="16"/>
        <v>-520742.39999999997</v>
      </c>
      <c r="Q29" s="8">
        <v>19534</v>
      </c>
      <c r="R29" s="16">
        <v>2434</v>
      </c>
      <c r="S29" s="8">
        <v>90</v>
      </c>
      <c r="T29" s="8"/>
      <c r="U29" s="111">
        <f t="shared" si="7"/>
        <v>1953400</v>
      </c>
      <c r="V29" s="111">
        <f t="shared" si="8"/>
        <v>44.843893480257115</v>
      </c>
      <c r="W29" s="111">
        <f t="shared" si="9"/>
        <v>15316609.4</v>
      </c>
      <c r="X29" s="111">
        <f t="shared" si="10"/>
        <v>494084.17419354839</v>
      </c>
      <c r="Y29" s="112">
        <v>0.61413007765830341</v>
      </c>
      <c r="Z29" s="113">
        <v>14</v>
      </c>
      <c r="AA29" s="114">
        <v>44</v>
      </c>
      <c r="AB29" s="114">
        <f t="shared" si="11"/>
        <v>12</v>
      </c>
      <c r="AC29" s="116">
        <v>8.9791992363585909E-3</v>
      </c>
    </row>
    <row r="30" spans="2:29" x14ac:dyDescent="0.25">
      <c r="B30" s="42">
        <f t="shared" si="3"/>
        <v>12247</v>
      </c>
      <c r="C30">
        <v>31</v>
      </c>
      <c r="D30" s="28" t="s">
        <v>17</v>
      </c>
      <c r="E30" s="20">
        <f>69839+32645</f>
        <v>102484</v>
      </c>
      <c r="F30" s="8">
        <v>12290</v>
      </c>
      <c r="G30" s="11">
        <f t="shared" si="12"/>
        <v>114774</v>
      </c>
      <c r="H30" s="11">
        <f t="shared" si="4"/>
        <v>14.422467956773058</v>
      </c>
      <c r="I30" s="11">
        <f t="shared" si="5"/>
        <v>913371461</v>
      </c>
      <c r="J30" s="8">
        <f t="shared" si="13"/>
        <v>12.878110077909023</v>
      </c>
      <c r="K30" s="99">
        <v>5939</v>
      </c>
      <c r="L30" s="8">
        <v>7958</v>
      </c>
      <c r="M30" s="8">
        <f>L30-K30</f>
        <v>2019</v>
      </c>
      <c r="N30" s="8">
        <f t="shared" si="6"/>
        <v>860964.1</v>
      </c>
      <c r="O30" s="8">
        <f t="shared" si="15"/>
        <v>516578.45999999996</v>
      </c>
      <c r="P30" s="8">
        <f t="shared" si="16"/>
        <v>2066313.8399999999</v>
      </c>
      <c r="Q30" s="8">
        <v>30339</v>
      </c>
      <c r="R30" s="16">
        <v>12643</v>
      </c>
      <c r="S30" s="8">
        <v>89</v>
      </c>
      <c r="T30" s="8"/>
      <c r="U30" s="111">
        <f t="shared" si="7"/>
        <v>3033900</v>
      </c>
      <c r="V30" s="111">
        <f t="shared" si="8"/>
        <v>69.648760330578511</v>
      </c>
      <c r="W30" s="111">
        <f t="shared" si="9"/>
        <v>23788809.900000002</v>
      </c>
      <c r="X30" s="111">
        <f t="shared" si="10"/>
        <v>767380.96451612911</v>
      </c>
      <c r="Y30" s="112">
        <v>0.57169952210274799</v>
      </c>
      <c r="Z30" s="113">
        <v>13</v>
      </c>
      <c r="AA30" s="114">
        <v>43</v>
      </c>
      <c r="AB30" s="114">
        <f t="shared" si="11"/>
        <v>11</v>
      </c>
      <c r="AC30" s="116">
        <v>1.4838178208767556E-2</v>
      </c>
    </row>
    <row r="31" spans="2:29" x14ac:dyDescent="0.25">
      <c r="B31" s="42">
        <f t="shared" si="3"/>
        <v>5864</v>
      </c>
      <c r="C31">
        <v>30</v>
      </c>
      <c r="D31" s="28" t="s">
        <v>18</v>
      </c>
      <c r="E31" s="20">
        <f>37592+51608</f>
        <v>89200</v>
      </c>
      <c r="F31" s="8">
        <v>5889</v>
      </c>
      <c r="G31" s="11">
        <f t="shared" si="12"/>
        <v>95089</v>
      </c>
      <c r="H31" s="11">
        <f t="shared" si="4"/>
        <v>17.81360059947546</v>
      </c>
      <c r="I31" s="11">
        <f t="shared" si="5"/>
        <v>507585052</v>
      </c>
      <c r="J31" s="8">
        <f t="shared" si="13"/>
        <v>16.710378418883476</v>
      </c>
      <c r="K31" s="99">
        <v>8960.8308450371769</v>
      </c>
      <c r="L31" s="8">
        <v>5338</v>
      </c>
      <c r="M31" s="8">
        <f t="shared" ref="M31:M36" si="17">L31-K31</f>
        <v>-3622.8308450371769</v>
      </c>
      <c r="N31" s="8">
        <f t="shared" si="6"/>
        <v>366500</v>
      </c>
      <c r="O31" s="8">
        <f t="shared" si="15"/>
        <v>219900</v>
      </c>
      <c r="P31" s="8">
        <f t="shared" si="16"/>
        <v>879600</v>
      </c>
      <c r="Q31" s="8">
        <v>27728</v>
      </c>
      <c r="R31" s="16">
        <v>11748</v>
      </c>
      <c r="S31" s="8">
        <v>78</v>
      </c>
      <c r="T31" s="8"/>
      <c r="U31" s="111">
        <f t="shared" si="7"/>
        <v>2772800</v>
      </c>
      <c r="V31" s="111">
        <f t="shared" si="8"/>
        <v>63.654729109274562</v>
      </c>
      <c r="W31" s="111">
        <f t="shared" si="9"/>
        <v>21741524.800000001</v>
      </c>
      <c r="X31" s="111">
        <f t="shared" si="10"/>
        <v>724717.4933333334</v>
      </c>
      <c r="Y31" s="112">
        <v>0.51758564814814811</v>
      </c>
      <c r="Z31" s="113">
        <v>12</v>
      </c>
      <c r="AA31" s="114">
        <v>25</v>
      </c>
      <c r="AB31" s="114">
        <f t="shared" si="11"/>
        <v>10</v>
      </c>
      <c r="AC31" s="116">
        <v>1.6013254850857014E-2</v>
      </c>
    </row>
    <row r="32" spans="2:29" x14ac:dyDescent="0.25">
      <c r="B32" s="42">
        <f t="shared" si="3"/>
        <v>-57012</v>
      </c>
      <c r="C32">
        <v>31</v>
      </c>
      <c r="D32" s="28" t="s">
        <v>19</v>
      </c>
      <c r="E32" s="20">
        <f>88908+28029</f>
        <v>116937</v>
      </c>
      <c r="F32" s="8">
        <v>-57008</v>
      </c>
      <c r="G32" s="11">
        <f t="shared" si="12"/>
        <v>59929</v>
      </c>
      <c r="H32" s="11">
        <f t="shared" si="4"/>
        <v>15.651344998694176</v>
      </c>
      <c r="I32" s="11">
        <f t="shared" si="5"/>
        <v>229468110</v>
      </c>
      <c r="J32" s="8">
        <f t="shared" si="13"/>
        <v>30.539827631235308</v>
      </c>
      <c r="K32" s="99">
        <v>5597.8626541997337</v>
      </c>
      <c r="L32" s="8">
        <v>3829</v>
      </c>
      <c r="M32" s="8">
        <f t="shared" si="17"/>
        <v>-1768.8626541997337</v>
      </c>
      <c r="N32" s="8">
        <f t="shared" si="6"/>
        <v>-3101452.8</v>
      </c>
      <c r="O32" s="8">
        <f t="shared" si="15"/>
        <v>-1860871.68</v>
      </c>
      <c r="P32" s="8">
        <f t="shared" si="16"/>
        <v>-7443486.7199999997</v>
      </c>
      <c r="Q32" s="8">
        <v>6487</v>
      </c>
      <c r="R32" s="16">
        <v>4013</v>
      </c>
      <c r="S32" s="8">
        <v>65</v>
      </c>
      <c r="T32" s="8"/>
      <c r="U32" s="111">
        <f t="shared" si="7"/>
        <v>648700</v>
      </c>
      <c r="V32" s="111">
        <f t="shared" si="8"/>
        <v>14.892102846648301</v>
      </c>
      <c r="W32" s="111">
        <f t="shared" si="9"/>
        <v>5086456.7</v>
      </c>
      <c r="X32" s="111">
        <f t="shared" si="10"/>
        <v>164079.24838709677</v>
      </c>
      <c r="Y32" s="112">
        <v>0.46155391278375152</v>
      </c>
      <c r="Z32" s="113">
        <v>11</v>
      </c>
      <c r="AA32" s="114">
        <v>4</v>
      </c>
      <c r="AB32" s="114">
        <f t="shared" si="11"/>
        <v>9</v>
      </c>
      <c r="AC32" s="116">
        <v>1.6021393156489632E-2</v>
      </c>
    </row>
    <row r="33" spans="2:29" x14ac:dyDescent="0.25">
      <c r="B33" s="42">
        <f t="shared" si="3"/>
        <v>-26744</v>
      </c>
      <c r="C33">
        <v>30</v>
      </c>
      <c r="D33" s="28" t="s">
        <v>20</v>
      </c>
      <c r="E33" s="20">
        <f>35229+23575</f>
        <v>58804</v>
      </c>
      <c r="F33" s="8">
        <v>-26690</v>
      </c>
      <c r="G33" s="11">
        <f t="shared" si="12"/>
        <v>32114</v>
      </c>
      <c r="H33" s="11">
        <f t="shared" si="4"/>
        <v>12.495719844357977</v>
      </c>
      <c r="I33" s="11">
        <f t="shared" si="5"/>
        <v>82532950</v>
      </c>
      <c r="J33" s="8">
        <f t="shared" si="13"/>
        <v>22.880933852140078</v>
      </c>
      <c r="K33" s="99">
        <v>6713.9487644068658</v>
      </c>
      <c r="L33" s="8">
        <v>2570</v>
      </c>
      <c r="M33" s="8">
        <f t="shared" si="17"/>
        <v>-4143.9487644068658</v>
      </c>
      <c r="N33" s="8">
        <f t="shared" si="6"/>
        <v>-1267665.6000000001</v>
      </c>
      <c r="O33" s="8">
        <f t="shared" si="15"/>
        <v>-760599.36</v>
      </c>
      <c r="P33" s="8">
        <f t="shared" si="16"/>
        <v>-3042397.44</v>
      </c>
      <c r="Q33" s="8">
        <v>4483</v>
      </c>
      <c r="R33" s="16">
        <v>3453</v>
      </c>
      <c r="S33" s="8">
        <v>50</v>
      </c>
      <c r="T33" s="8"/>
      <c r="U33" s="111">
        <f t="shared" si="7"/>
        <v>448300</v>
      </c>
      <c r="V33" s="111">
        <f t="shared" si="8"/>
        <v>10.291551882460974</v>
      </c>
      <c r="W33" s="111">
        <f t="shared" si="9"/>
        <v>3515120.3000000003</v>
      </c>
      <c r="X33" s="111">
        <f t="shared" si="10"/>
        <v>117170.67666666668</v>
      </c>
      <c r="Y33" s="112">
        <v>0.41259259259259262</v>
      </c>
      <c r="Z33" s="113">
        <v>9</v>
      </c>
      <c r="AA33" s="114">
        <v>54</v>
      </c>
      <c r="AB33" s="114">
        <f t="shared" si="11"/>
        <v>7</v>
      </c>
      <c r="AC33" s="116">
        <v>1.1627971529667866E-2</v>
      </c>
    </row>
    <row r="34" spans="2:29" ht="15.75" thickBot="1" x14ac:dyDescent="0.3">
      <c r="B34" s="42">
        <f t="shared" si="3"/>
        <v>-38579</v>
      </c>
      <c r="C34">
        <v>31</v>
      </c>
      <c r="D34" s="29" t="s">
        <v>21</v>
      </c>
      <c r="E34" s="22">
        <f>27589+18368</f>
        <v>45957</v>
      </c>
      <c r="F34" s="9">
        <v>-38561</v>
      </c>
      <c r="G34" s="11">
        <f t="shared" si="12"/>
        <v>7396</v>
      </c>
      <c r="H34" s="11">
        <f t="shared" si="4"/>
        <v>14.559055118110237</v>
      </c>
      <c r="I34" s="11">
        <f t="shared" si="5"/>
        <v>3757137</v>
      </c>
      <c r="J34" s="8">
        <f>E34/L34</f>
        <v>90.46653543307086</v>
      </c>
      <c r="K34" s="99">
        <v>3496.8147981051206</v>
      </c>
      <c r="L34" s="9">
        <v>508</v>
      </c>
      <c r="M34" s="8">
        <f t="shared" si="17"/>
        <v>-2988.8147981051206</v>
      </c>
      <c r="N34" s="8">
        <f t="shared" si="6"/>
        <v>-1689760.2</v>
      </c>
      <c r="O34" s="8">
        <f t="shared" si="15"/>
        <v>-1013856.1199999999</v>
      </c>
      <c r="P34" s="8">
        <f t="shared" si="16"/>
        <v>-4055424.4799999995</v>
      </c>
      <c r="Q34" s="9">
        <v>290</v>
      </c>
      <c r="R34" s="21">
        <v>1884</v>
      </c>
      <c r="S34" s="8">
        <v>40</v>
      </c>
      <c r="T34" s="8"/>
      <c r="U34" s="111">
        <f t="shared" si="7"/>
        <v>29000</v>
      </c>
      <c r="V34" s="111">
        <f t="shared" si="8"/>
        <v>0.66574839302112032</v>
      </c>
      <c r="W34" s="111">
        <f t="shared" si="9"/>
        <v>227389</v>
      </c>
      <c r="X34" s="111">
        <f t="shared" si="10"/>
        <v>7335.1290322580644</v>
      </c>
      <c r="Y34" s="112">
        <v>0.38771953405017923</v>
      </c>
      <c r="Z34" s="113">
        <v>9</v>
      </c>
      <c r="AA34" s="114">
        <v>18</v>
      </c>
      <c r="AB34" s="114">
        <f t="shared" si="11"/>
        <v>7</v>
      </c>
      <c r="AC34" s="116">
        <v>2.5008061900349677E-3</v>
      </c>
    </row>
    <row r="35" spans="2:29" ht="15.75" thickBot="1" x14ac:dyDescent="0.3">
      <c r="E35" s="122">
        <f>SUM(E23:E34)</f>
        <v>997797</v>
      </c>
      <c r="F35" s="111">
        <f>SUM(F23:F34)</f>
        <v>-234510</v>
      </c>
      <c r="G35" s="121">
        <f>SUM(G23:G34)</f>
        <v>763287</v>
      </c>
      <c r="H35" s="11">
        <f t="shared" si="4"/>
        <v>2561.3657718120803</v>
      </c>
      <c r="I35" s="11">
        <f>G35*L36-C35</f>
        <v>0</v>
      </c>
      <c r="J35" s="1"/>
      <c r="K35" s="111">
        <f t="shared" ref="K35" si="18">SUM(K24:K34)</f>
        <v>66984.124001572432</v>
      </c>
      <c r="L35" s="9">
        <v>298</v>
      </c>
      <c r="M35" s="8">
        <f t="shared" si="17"/>
        <v>-66686.124001572432</v>
      </c>
      <c r="N35" s="15">
        <f>SUM(N24:N34)</f>
        <v>-9348545.3999999985</v>
      </c>
      <c r="O35" s="8">
        <f t="shared" si="15"/>
        <v>-5609127.2399999993</v>
      </c>
      <c r="P35" s="15">
        <f>SUM(P24:P34)</f>
        <v>-22436508.960000001</v>
      </c>
      <c r="Q35" s="111">
        <f>SUM(Q23:Q34)</f>
        <v>94867</v>
      </c>
      <c r="R35" s="111">
        <f>SUM(R23:R34)</f>
        <v>45136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3"/>
    </row>
    <row r="36" spans="2:29" x14ac:dyDescent="0.25">
      <c r="E36" s="2"/>
      <c r="F36" s="1"/>
      <c r="G36" s="1"/>
      <c r="H36" s="1"/>
      <c r="I36" s="1"/>
      <c r="J36" s="1"/>
      <c r="K36" s="1">
        <v>68598.676111834051</v>
      </c>
      <c r="L36" s="1"/>
      <c r="M36" s="8">
        <f t="shared" si="17"/>
        <v>-68598.676111834051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3"/>
    </row>
    <row r="37" spans="2:29" ht="15.75" thickBot="1" x14ac:dyDescent="0.3">
      <c r="E37" s="4"/>
      <c r="F37" s="118"/>
      <c r="G37" s="118"/>
      <c r="H37" s="118"/>
      <c r="I37" s="118"/>
      <c r="J37" s="123">
        <f>R35/E35</f>
        <v>4.5235654146083826E-2</v>
      </c>
      <c r="K37" s="123"/>
      <c r="L37" s="118"/>
      <c r="M37" s="117">
        <f>SUM(M24:M34)</f>
        <v>-19611.124001572425</v>
      </c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9"/>
    </row>
    <row r="41" spans="2:29" x14ac:dyDescent="0.25">
      <c r="E41" s="147" t="s">
        <v>1268</v>
      </c>
      <c r="F41" s="147"/>
      <c r="G41" s="147"/>
      <c r="H41" s="147" t="s">
        <v>1298</v>
      </c>
      <c r="I41" s="147"/>
      <c r="J41" s="147"/>
      <c r="K41" s="147" t="s">
        <v>1319</v>
      </c>
      <c r="L41" s="147"/>
      <c r="M41" s="147"/>
      <c r="N41" s="105"/>
      <c r="O41" s="105"/>
    </row>
    <row r="42" spans="2:29" x14ac:dyDescent="0.25">
      <c r="E42" t="s">
        <v>1323</v>
      </c>
      <c r="F42" t="s">
        <v>1322</v>
      </c>
      <c r="G42" t="s">
        <v>1295</v>
      </c>
      <c r="H42" t="s">
        <v>1323</v>
      </c>
      <c r="I42" t="s">
        <v>1322</v>
      </c>
      <c r="J42" t="s">
        <v>1295</v>
      </c>
      <c r="K42" t="s">
        <v>1323</v>
      </c>
      <c r="L42" t="s">
        <v>1322</v>
      </c>
      <c r="M42" t="s">
        <v>1295</v>
      </c>
    </row>
    <row r="43" spans="2:29" x14ac:dyDescent="0.25">
      <c r="D43" t="s">
        <v>1284</v>
      </c>
      <c r="E43">
        <v>200546</v>
      </c>
      <c r="F43">
        <v>74</v>
      </c>
      <c r="G43" t="s">
        <v>1296</v>
      </c>
      <c r="H43">
        <v>102566</v>
      </c>
      <c r="I43">
        <v>3165</v>
      </c>
      <c r="J43" t="s">
        <v>1296</v>
      </c>
      <c r="K43">
        <v>97980</v>
      </c>
      <c r="L43">
        <v>3166</v>
      </c>
      <c r="M43" t="s">
        <v>1296</v>
      </c>
    </row>
    <row r="44" spans="2:29" x14ac:dyDescent="0.25">
      <c r="D44" t="s">
        <v>1300</v>
      </c>
    </row>
    <row r="45" spans="2:29" x14ac:dyDescent="0.25">
      <c r="D45" t="s">
        <v>1301</v>
      </c>
      <c r="E45">
        <v>11079</v>
      </c>
      <c r="F45">
        <v>1815</v>
      </c>
      <c r="G45">
        <v>5.5</v>
      </c>
      <c r="H45">
        <v>4442</v>
      </c>
      <c r="I45">
        <v>1159</v>
      </c>
      <c r="J45">
        <v>4.3</v>
      </c>
      <c r="K45">
        <v>6637</v>
      </c>
      <c r="L45">
        <v>1311</v>
      </c>
      <c r="M45">
        <v>6.8</v>
      </c>
    </row>
    <row r="46" spans="2:29" x14ac:dyDescent="0.25">
      <c r="D46" t="s">
        <v>1302</v>
      </c>
      <c r="E46">
        <v>10592</v>
      </c>
      <c r="F46">
        <v>1898</v>
      </c>
      <c r="G46">
        <v>5.3</v>
      </c>
      <c r="H46">
        <v>4498</v>
      </c>
      <c r="I46">
        <v>1299</v>
      </c>
      <c r="J46">
        <v>4.4000000000000004</v>
      </c>
      <c r="K46">
        <v>6094</v>
      </c>
      <c r="L46">
        <v>1305</v>
      </c>
      <c r="M46">
        <v>6.2</v>
      </c>
    </row>
    <row r="47" spans="2:29" x14ac:dyDescent="0.25">
      <c r="D47" t="s">
        <v>1303</v>
      </c>
      <c r="E47">
        <v>9091</v>
      </c>
      <c r="F47">
        <v>1896</v>
      </c>
      <c r="G47">
        <v>4.5</v>
      </c>
      <c r="H47">
        <v>4924</v>
      </c>
      <c r="I47">
        <v>1206</v>
      </c>
      <c r="J47">
        <v>4.8</v>
      </c>
      <c r="K47">
        <v>4167</v>
      </c>
      <c r="L47">
        <v>1078</v>
      </c>
      <c r="M47">
        <v>4.3</v>
      </c>
    </row>
    <row r="48" spans="2:29" x14ac:dyDescent="0.25">
      <c r="D48" t="s">
        <v>1304</v>
      </c>
      <c r="E48">
        <v>11529</v>
      </c>
      <c r="F48">
        <v>1663</v>
      </c>
      <c r="G48">
        <v>5.7</v>
      </c>
      <c r="H48">
        <v>6435</v>
      </c>
      <c r="I48">
        <v>1400</v>
      </c>
      <c r="J48">
        <v>6.3</v>
      </c>
      <c r="K48">
        <v>5094</v>
      </c>
      <c r="L48">
        <v>1170</v>
      </c>
      <c r="M48">
        <v>5.2</v>
      </c>
    </row>
    <row r="49" spans="4:13" x14ac:dyDescent="0.25">
      <c r="D49" t="s">
        <v>1305</v>
      </c>
      <c r="E49">
        <v>21285</v>
      </c>
      <c r="F49">
        <v>2923</v>
      </c>
      <c r="G49">
        <v>10.6</v>
      </c>
      <c r="H49">
        <v>10436</v>
      </c>
      <c r="I49">
        <v>1892</v>
      </c>
      <c r="J49">
        <v>10.199999999999999</v>
      </c>
      <c r="K49">
        <v>10849</v>
      </c>
      <c r="L49">
        <v>1971</v>
      </c>
      <c r="M49">
        <v>11.1</v>
      </c>
    </row>
    <row r="50" spans="4:13" x14ac:dyDescent="0.25">
      <c r="D50" t="s">
        <v>1306</v>
      </c>
      <c r="E50">
        <v>24999</v>
      </c>
      <c r="F50">
        <v>2665</v>
      </c>
      <c r="G50">
        <v>12.5</v>
      </c>
      <c r="H50">
        <v>14041</v>
      </c>
      <c r="I50">
        <v>1822</v>
      </c>
      <c r="J50">
        <v>13.7</v>
      </c>
      <c r="K50">
        <v>10958</v>
      </c>
      <c r="L50">
        <v>1867</v>
      </c>
      <c r="M50">
        <v>11.2</v>
      </c>
    </row>
    <row r="51" spans="4:13" x14ac:dyDescent="0.25">
      <c r="D51" t="s">
        <v>1307</v>
      </c>
      <c r="E51">
        <v>18787</v>
      </c>
      <c r="F51">
        <v>2097</v>
      </c>
      <c r="G51">
        <v>9.4</v>
      </c>
      <c r="H51">
        <v>9450</v>
      </c>
      <c r="I51">
        <v>1419</v>
      </c>
      <c r="J51">
        <v>9.1999999999999993</v>
      </c>
      <c r="K51">
        <v>9337</v>
      </c>
      <c r="L51">
        <v>1272</v>
      </c>
      <c r="M51">
        <v>9.5</v>
      </c>
    </row>
    <row r="52" spans="4:13" x14ac:dyDescent="0.25">
      <c r="D52" t="s">
        <v>1308</v>
      </c>
      <c r="E52">
        <v>16248</v>
      </c>
      <c r="F52">
        <v>2205</v>
      </c>
      <c r="G52">
        <v>8.1</v>
      </c>
      <c r="H52">
        <v>9019</v>
      </c>
      <c r="I52">
        <v>1508</v>
      </c>
      <c r="J52">
        <v>8.8000000000000007</v>
      </c>
      <c r="K52">
        <v>7229</v>
      </c>
      <c r="L52">
        <v>1359</v>
      </c>
      <c r="M52">
        <v>7.4</v>
      </c>
    </row>
    <row r="53" spans="4:13" x14ac:dyDescent="0.25">
      <c r="D53" t="s">
        <v>1309</v>
      </c>
      <c r="E53">
        <v>11516</v>
      </c>
      <c r="F53">
        <v>1709</v>
      </c>
      <c r="G53">
        <v>5.7</v>
      </c>
      <c r="H53">
        <v>6372</v>
      </c>
      <c r="I53">
        <v>1439</v>
      </c>
      <c r="J53">
        <v>6.2</v>
      </c>
      <c r="K53">
        <v>5144</v>
      </c>
      <c r="L53">
        <v>1231</v>
      </c>
      <c r="M53">
        <v>5.3</v>
      </c>
    </row>
    <row r="54" spans="4:13" x14ac:dyDescent="0.25">
      <c r="D54" t="s">
        <v>1310</v>
      </c>
      <c r="E54">
        <v>10961</v>
      </c>
      <c r="F54">
        <v>1867</v>
      </c>
      <c r="G54">
        <v>5.5</v>
      </c>
      <c r="H54">
        <v>5624</v>
      </c>
      <c r="I54">
        <v>1257</v>
      </c>
      <c r="J54">
        <v>5.5</v>
      </c>
      <c r="K54">
        <v>5337</v>
      </c>
      <c r="L54">
        <v>1184</v>
      </c>
      <c r="M54">
        <v>5.4</v>
      </c>
    </row>
    <row r="55" spans="4:13" x14ac:dyDescent="0.25">
      <c r="D55" t="s">
        <v>1311</v>
      </c>
      <c r="E55">
        <v>11194</v>
      </c>
      <c r="F55">
        <v>1762</v>
      </c>
      <c r="G55">
        <v>5.6</v>
      </c>
      <c r="H55">
        <v>6129</v>
      </c>
      <c r="I55">
        <v>1348</v>
      </c>
      <c r="J55">
        <v>6</v>
      </c>
      <c r="K55">
        <v>5065</v>
      </c>
      <c r="L55">
        <v>1025</v>
      </c>
      <c r="M55">
        <v>5.2</v>
      </c>
    </row>
    <row r="56" spans="4:13" x14ac:dyDescent="0.25">
      <c r="D56" t="s">
        <v>1312</v>
      </c>
      <c r="E56">
        <v>9280</v>
      </c>
      <c r="F56">
        <v>1667</v>
      </c>
      <c r="G56">
        <v>4.5999999999999996</v>
      </c>
      <c r="H56">
        <v>5290</v>
      </c>
      <c r="I56">
        <v>1160</v>
      </c>
      <c r="J56">
        <v>5.2</v>
      </c>
      <c r="K56">
        <v>3990</v>
      </c>
      <c r="L56">
        <v>905</v>
      </c>
      <c r="M56">
        <v>4.0999999999999996</v>
      </c>
    </row>
    <row r="57" spans="4:13" x14ac:dyDescent="0.25">
      <c r="D57" t="s">
        <v>1313</v>
      </c>
      <c r="E57">
        <v>11102</v>
      </c>
      <c r="F57">
        <v>1790</v>
      </c>
      <c r="G57">
        <v>5.5</v>
      </c>
      <c r="H57">
        <v>4764</v>
      </c>
      <c r="I57">
        <v>1106</v>
      </c>
      <c r="J57">
        <v>4.5999999999999996</v>
      </c>
      <c r="K57">
        <v>6338</v>
      </c>
      <c r="L57">
        <v>1392</v>
      </c>
      <c r="M57">
        <v>6.5</v>
      </c>
    </row>
    <row r="58" spans="4:13" x14ac:dyDescent="0.25">
      <c r="D58" t="s">
        <v>1314</v>
      </c>
      <c r="E58">
        <v>7164</v>
      </c>
      <c r="F58">
        <v>1365</v>
      </c>
      <c r="G58">
        <v>3.6</v>
      </c>
      <c r="H58">
        <v>3688</v>
      </c>
      <c r="I58">
        <v>869</v>
      </c>
      <c r="J58">
        <v>3.6</v>
      </c>
      <c r="K58">
        <v>3476</v>
      </c>
      <c r="L58">
        <v>901</v>
      </c>
      <c r="M58">
        <v>3.5</v>
      </c>
    </row>
    <row r="59" spans="4:13" x14ac:dyDescent="0.25">
      <c r="D59" t="s">
        <v>1315</v>
      </c>
      <c r="E59">
        <v>6094</v>
      </c>
      <c r="F59">
        <v>1313</v>
      </c>
      <c r="G59">
        <v>3</v>
      </c>
      <c r="H59">
        <v>3131</v>
      </c>
      <c r="I59">
        <v>881</v>
      </c>
      <c r="J59">
        <v>3.1</v>
      </c>
      <c r="K59">
        <v>2963</v>
      </c>
      <c r="L59">
        <v>726</v>
      </c>
      <c r="M59">
        <v>3</v>
      </c>
    </row>
    <row r="60" spans="4:13" x14ac:dyDescent="0.25">
      <c r="D60" t="s">
        <v>1316</v>
      </c>
      <c r="E60">
        <v>3356</v>
      </c>
      <c r="F60">
        <v>931</v>
      </c>
      <c r="G60">
        <v>1.7</v>
      </c>
      <c r="H60">
        <v>1526</v>
      </c>
      <c r="I60">
        <v>553</v>
      </c>
      <c r="J60">
        <v>1.5</v>
      </c>
      <c r="K60">
        <v>1830</v>
      </c>
      <c r="L60">
        <v>714</v>
      </c>
      <c r="M60">
        <v>1.9</v>
      </c>
    </row>
    <row r="61" spans="4:13" x14ac:dyDescent="0.25">
      <c r="D61" t="s">
        <v>1317</v>
      </c>
      <c r="E61">
        <v>3137</v>
      </c>
      <c r="F61">
        <v>1103</v>
      </c>
      <c r="G61">
        <v>1.6</v>
      </c>
      <c r="H61">
        <v>1514</v>
      </c>
      <c r="I61">
        <v>736</v>
      </c>
      <c r="J61">
        <v>1.5</v>
      </c>
      <c r="K61">
        <v>1623</v>
      </c>
      <c r="L61">
        <v>721</v>
      </c>
      <c r="M61">
        <v>1.7</v>
      </c>
    </row>
    <row r="62" spans="4:13" x14ac:dyDescent="0.25">
      <c r="D62" t="s">
        <v>1318</v>
      </c>
      <c r="E62">
        <v>3132</v>
      </c>
      <c r="F62">
        <v>794</v>
      </c>
      <c r="G62">
        <v>1.6</v>
      </c>
      <c r="H62">
        <v>1283</v>
      </c>
      <c r="I62">
        <v>553</v>
      </c>
      <c r="J62">
        <v>1.3</v>
      </c>
      <c r="K62">
        <v>1849</v>
      </c>
      <c r="L62">
        <v>577</v>
      </c>
      <c r="M62">
        <v>1.9</v>
      </c>
    </row>
  </sheetData>
  <mergeCells count="5">
    <mergeCell ref="D3:K3"/>
    <mergeCell ref="E41:G41"/>
    <mergeCell ref="H41:J41"/>
    <mergeCell ref="K41:M41"/>
    <mergeCell ref="E21:A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C92"/>
  <sheetViews>
    <sheetView topLeftCell="G1" zoomScale="85" zoomScaleNormal="85" workbookViewId="0">
      <selection activeCell="J80" sqref="J80"/>
    </sheetView>
  </sheetViews>
  <sheetFormatPr defaultRowHeight="15" x14ac:dyDescent="0.25"/>
  <cols>
    <col min="4" max="4" width="20.5703125" bestFit="1" customWidth="1"/>
    <col min="5" max="5" width="11.85546875" bestFit="1" customWidth="1"/>
    <col min="6" max="6" width="11.28515625" bestFit="1" customWidth="1"/>
    <col min="7" max="7" width="15.140625" style="7" bestFit="1" customWidth="1"/>
    <col min="8" max="8" width="18" bestFit="1" customWidth="1"/>
    <col min="9" max="9" width="13.5703125" bestFit="1" customWidth="1"/>
    <col min="10" max="10" width="13.42578125" bestFit="1" customWidth="1"/>
    <col min="11" max="11" width="11.5703125" customWidth="1"/>
    <col min="12" max="12" width="13.42578125" bestFit="1" customWidth="1"/>
    <col min="13" max="13" width="11.28515625" bestFit="1" customWidth="1"/>
    <col min="14" max="14" width="15.140625" bestFit="1" customWidth="1"/>
    <col min="15" max="15" width="18" bestFit="1" customWidth="1"/>
    <col min="16" max="16" width="13.5703125" bestFit="1" customWidth="1"/>
    <col min="17" max="17" width="11.7109375" bestFit="1" customWidth="1"/>
    <col min="18" max="18" width="11.5703125" bestFit="1" customWidth="1"/>
    <col min="19" max="19" width="11.28515625" bestFit="1" customWidth="1"/>
    <col min="20" max="20" width="15.140625" bestFit="1" customWidth="1"/>
    <col min="21" max="21" width="18" bestFit="1" customWidth="1"/>
    <col min="22" max="22" width="13.5703125" bestFit="1" customWidth="1"/>
    <col min="23" max="23" width="11.7109375" bestFit="1" customWidth="1"/>
    <col min="24" max="24" width="11.5703125" bestFit="1" customWidth="1"/>
    <col min="25" max="25" width="11.28515625" bestFit="1" customWidth="1"/>
    <col min="26" max="26" width="15.140625" bestFit="1" customWidth="1"/>
    <col min="27" max="27" width="15.85546875" bestFit="1" customWidth="1"/>
    <col min="28" max="28" width="13.5703125" bestFit="1" customWidth="1"/>
    <col min="29" max="29" width="11.7109375" bestFit="1" customWidth="1"/>
  </cols>
  <sheetData>
    <row r="2" spans="4:29" ht="15.75" thickBot="1" x14ac:dyDescent="0.3"/>
    <row r="3" spans="4:29" ht="24" thickBot="1" x14ac:dyDescent="0.4">
      <c r="D3" s="138" t="s">
        <v>0</v>
      </c>
      <c r="E3" s="139"/>
      <c r="F3" s="139"/>
      <c r="G3" s="139"/>
      <c r="H3" s="139"/>
      <c r="I3" s="139"/>
      <c r="J3" s="139"/>
      <c r="K3" s="139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1"/>
    </row>
    <row r="4" spans="4:29" ht="19.5" thickBot="1" x14ac:dyDescent="0.35">
      <c r="D4" s="12"/>
      <c r="E4" s="135">
        <v>2016</v>
      </c>
      <c r="F4" s="135"/>
      <c r="G4" s="135"/>
      <c r="H4" s="135"/>
      <c r="I4" s="135"/>
      <c r="J4" s="135"/>
      <c r="K4" s="38"/>
      <c r="L4" s="172">
        <v>2017</v>
      </c>
      <c r="M4" s="173"/>
      <c r="N4" s="173"/>
      <c r="O4" s="173"/>
      <c r="P4" s="173"/>
      <c r="Q4" s="174"/>
      <c r="R4" s="172">
        <v>2018</v>
      </c>
      <c r="S4" s="173"/>
      <c r="T4" s="173"/>
      <c r="U4" s="173"/>
      <c r="V4" s="173"/>
      <c r="W4" s="174"/>
      <c r="X4" s="175">
        <v>2019</v>
      </c>
      <c r="Y4" s="173"/>
      <c r="Z4" s="173"/>
      <c r="AA4" s="173"/>
      <c r="AB4" s="173"/>
      <c r="AC4" s="174"/>
    </row>
    <row r="5" spans="4:29" ht="45.75" thickBot="1" x14ac:dyDescent="0.3">
      <c r="D5" s="2"/>
      <c r="E5" s="1" t="s">
        <v>1</v>
      </c>
      <c r="F5" s="1" t="s">
        <v>2</v>
      </c>
      <c r="G5" s="11" t="s">
        <v>3</v>
      </c>
      <c r="H5" s="1" t="s">
        <v>4</v>
      </c>
      <c r="I5" s="14" t="s">
        <v>5</v>
      </c>
      <c r="J5" s="1" t="s">
        <v>6</v>
      </c>
      <c r="K5" s="3" t="s">
        <v>43</v>
      </c>
      <c r="L5" s="23" t="s">
        <v>1</v>
      </c>
      <c r="M5" s="5" t="s">
        <v>2</v>
      </c>
      <c r="N5" s="5" t="s">
        <v>3</v>
      </c>
      <c r="O5" s="5" t="s">
        <v>4</v>
      </c>
      <c r="P5" s="5" t="s">
        <v>9</v>
      </c>
      <c r="Q5" s="6" t="s">
        <v>6</v>
      </c>
      <c r="R5" s="23" t="s">
        <v>1</v>
      </c>
      <c r="S5" s="5" t="s">
        <v>2</v>
      </c>
      <c r="T5" s="5" t="s">
        <v>3</v>
      </c>
      <c r="U5" s="5" t="s">
        <v>4</v>
      </c>
      <c r="V5" s="5" t="s">
        <v>9</v>
      </c>
      <c r="W5" s="6" t="s">
        <v>6</v>
      </c>
      <c r="X5" s="10" t="s">
        <v>1</v>
      </c>
      <c r="Y5" s="5" t="s">
        <v>2</v>
      </c>
      <c r="Z5" s="5" t="s">
        <v>3</v>
      </c>
      <c r="AA5" s="5" t="s">
        <v>4</v>
      </c>
      <c r="AB5" s="5" t="s">
        <v>9</v>
      </c>
      <c r="AC5" s="6" t="s">
        <v>6</v>
      </c>
    </row>
    <row r="6" spans="4:29" x14ac:dyDescent="0.25">
      <c r="D6" s="2" t="s">
        <v>10</v>
      </c>
      <c r="E6" s="8">
        <f>20451+15843</f>
        <v>36294</v>
      </c>
      <c r="F6" s="8">
        <v>-36294</v>
      </c>
      <c r="G6" s="8" t="e">
        <f>E6/H6</f>
        <v>#DIV/0!</v>
      </c>
      <c r="H6" s="8">
        <v>0</v>
      </c>
      <c r="I6" s="8">
        <v>7</v>
      </c>
      <c r="J6" s="8">
        <v>445</v>
      </c>
      <c r="K6" s="16"/>
      <c r="L6" s="24">
        <f>15221+25554</f>
        <v>40775</v>
      </c>
      <c r="M6" s="18">
        <v>-40775</v>
      </c>
      <c r="N6" s="8" t="e">
        <f>L6/O6</f>
        <v>#DIV/0!</v>
      </c>
      <c r="O6" s="18">
        <v>0</v>
      </c>
      <c r="P6" s="18">
        <v>305</v>
      </c>
      <c r="Q6" s="19">
        <v>1238</v>
      </c>
      <c r="R6" s="24">
        <f>15287+18834</f>
        <v>34121</v>
      </c>
      <c r="S6" s="18">
        <v>-18533</v>
      </c>
      <c r="T6" s="8">
        <f>R6/U6</f>
        <v>25.482449589245707</v>
      </c>
      <c r="U6" s="18">
        <v>1339</v>
      </c>
      <c r="V6" s="18">
        <v>47</v>
      </c>
      <c r="W6" s="19">
        <v>447</v>
      </c>
      <c r="X6" s="17">
        <f>22269+17177</f>
        <v>39446</v>
      </c>
      <c r="Y6" s="18">
        <v>-39306</v>
      </c>
      <c r="Z6" s="8" t="e">
        <f>X6/AA6</f>
        <v>#DIV/0!</v>
      </c>
      <c r="AA6" s="18">
        <v>0</v>
      </c>
      <c r="AB6" s="18">
        <v>110</v>
      </c>
      <c r="AC6" s="19">
        <v>1069</v>
      </c>
    </row>
    <row r="7" spans="4:29" x14ac:dyDescent="0.25">
      <c r="D7" s="2" t="s">
        <v>11</v>
      </c>
      <c r="E7" s="8">
        <f>31931+38857</f>
        <v>70788</v>
      </c>
      <c r="F7" s="8">
        <v>-47986</v>
      </c>
      <c r="G7" s="8">
        <f>E7/H7</f>
        <v>46.296926095487244</v>
      </c>
      <c r="H7" s="8">
        <v>1529</v>
      </c>
      <c r="I7" s="8">
        <v>8</v>
      </c>
      <c r="J7" s="8">
        <v>340</v>
      </c>
      <c r="K7" s="16"/>
      <c r="L7" s="25">
        <f>22209+45168</f>
        <v>67377</v>
      </c>
      <c r="M7" s="8">
        <v>-49197</v>
      </c>
      <c r="N7" s="8">
        <f>L7/O7</f>
        <v>50.545386346586646</v>
      </c>
      <c r="O7" s="8">
        <v>1333</v>
      </c>
      <c r="P7" s="8">
        <v>414</v>
      </c>
      <c r="Q7" s="16">
        <v>1518</v>
      </c>
      <c r="R7" s="25">
        <f>15627+16981</f>
        <v>32608</v>
      </c>
      <c r="S7" s="8">
        <v>-9536</v>
      </c>
      <c r="T7" s="8">
        <f>R7/U7</f>
        <v>15.83681398737251</v>
      </c>
      <c r="U7" s="8">
        <v>2059</v>
      </c>
      <c r="V7" s="8">
        <v>32</v>
      </c>
      <c r="W7" s="16">
        <v>414</v>
      </c>
      <c r="X7" s="20">
        <f>14058+43955</f>
        <v>58013</v>
      </c>
      <c r="Y7" s="8">
        <v>-51343</v>
      </c>
      <c r="Z7" s="8">
        <f>X7/AA7</f>
        <v>98.494057724957557</v>
      </c>
      <c r="AA7" s="8">
        <v>589</v>
      </c>
      <c r="AB7" s="8">
        <v>144</v>
      </c>
      <c r="AC7" s="16">
        <v>1332</v>
      </c>
    </row>
    <row r="8" spans="4:29" x14ac:dyDescent="0.25">
      <c r="D8" s="2" t="s">
        <v>12</v>
      </c>
      <c r="E8" s="8">
        <f>33899+75602</f>
        <v>109501</v>
      </c>
      <c r="F8" s="8">
        <v>-46099</v>
      </c>
      <c r="G8" s="8">
        <f t="shared" ref="G8:G16" si="0">E8/H8</f>
        <v>26.930890309886866</v>
      </c>
      <c r="H8" s="8">
        <v>4066</v>
      </c>
      <c r="I8" s="8">
        <v>15</v>
      </c>
      <c r="J8" s="8">
        <v>365</v>
      </c>
      <c r="K8" s="16"/>
      <c r="L8" s="25">
        <f>29965+52255</f>
        <v>82220</v>
      </c>
      <c r="M8" s="8">
        <v>-12480</v>
      </c>
      <c r="N8" s="8">
        <f t="shared" ref="N8:N16" si="1">L8/O8</f>
        <v>18.497187851518561</v>
      </c>
      <c r="O8" s="8">
        <v>4445</v>
      </c>
      <c r="P8" s="8">
        <v>26</v>
      </c>
      <c r="Q8" s="16">
        <v>365</v>
      </c>
      <c r="R8" s="25">
        <f>31204+85080</f>
        <v>116284</v>
      </c>
      <c r="S8" s="8">
        <v>-63979</v>
      </c>
      <c r="T8" s="8">
        <f t="shared" ref="T8:T16" si="2">R8/U8</f>
        <v>43.421956684092606</v>
      </c>
      <c r="U8" s="8">
        <v>2678</v>
      </c>
      <c r="V8" s="8">
        <v>39</v>
      </c>
      <c r="W8" s="16">
        <v>423</v>
      </c>
      <c r="X8" s="20">
        <f>24273+91836</f>
        <v>116109</v>
      </c>
      <c r="Y8" s="8">
        <v>-60632</v>
      </c>
      <c r="Z8" s="8">
        <f t="shared" ref="Z8:Z16" si="3">X8/AA8</f>
        <v>34.535693039857229</v>
      </c>
      <c r="AA8" s="8">
        <v>3362</v>
      </c>
      <c r="AB8" s="8">
        <v>133</v>
      </c>
      <c r="AC8" s="16">
        <v>1201</v>
      </c>
    </row>
    <row r="9" spans="4:29" x14ac:dyDescent="0.25">
      <c r="D9" s="2" t="s">
        <v>13</v>
      </c>
      <c r="E9" s="8">
        <f>44205+30601</f>
        <v>74806</v>
      </c>
      <c r="F9" s="8">
        <v>4539</v>
      </c>
      <c r="G9" s="8">
        <f t="shared" si="0"/>
        <v>13.733431246557739</v>
      </c>
      <c r="H9" s="8">
        <v>5447</v>
      </c>
      <c r="I9" s="8">
        <v>882</v>
      </c>
      <c r="J9" s="8">
        <v>2038</v>
      </c>
      <c r="K9" s="16"/>
      <c r="L9" s="25">
        <f>44181+25546</f>
        <v>69727</v>
      </c>
      <c r="M9" s="8">
        <v>6068</v>
      </c>
      <c r="N9" s="8">
        <f t="shared" si="1"/>
        <v>14.367813723470018</v>
      </c>
      <c r="O9" s="8">
        <v>4853</v>
      </c>
      <c r="P9" s="8">
        <v>74</v>
      </c>
      <c r="Q9" s="16">
        <v>569</v>
      </c>
      <c r="R9" s="25">
        <f>37681+44638</f>
        <v>82319</v>
      </c>
      <c r="S9" s="8">
        <v>-879</v>
      </c>
      <c r="T9" s="8">
        <f t="shared" si="2"/>
        <v>14.883203760621949</v>
      </c>
      <c r="U9" s="8">
        <v>5531</v>
      </c>
      <c r="V9" s="8">
        <v>96</v>
      </c>
      <c r="W9" s="16">
        <v>578</v>
      </c>
      <c r="X9" s="20">
        <f>50713+30972</f>
        <v>81685</v>
      </c>
      <c r="Y9" s="8">
        <v>-12346</v>
      </c>
      <c r="Z9" s="8">
        <f t="shared" si="3"/>
        <v>20.565206445115809</v>
      </c>
      <c r="AA9" s="8">
        <v>3972</v>
      </c>
      <c r="AB9" s="8">
        <v>260</v>
      </c>
      <c r="AC9" s="16">
        <v>1570</v>
      </c>
    </row>
    <row r="10" spans="4:29" x14ac:dyDescent="0.25">
      <c r="D10" s="2" t="s">
        <v>14</v>
      </c>
      <c r="E10" s="8">
        <f>73628+28722</f>
        <v>102350</v>
      </c>
      <c r="F10" s="8">
        <v>-12878</v>
      </c>
      <c r="G10" s="8">
        <f t="shared" si="0"/>
        <v>17.007311399135926</v>
      </c>
      <c r="H10" s="8">
        <v>6018</v>
      </c>
      <c r="I10" s="8">
        <v>1837</v>
      </c>
      <c r="J10" s="8">
        <v>4284</v>
      </c>
      <c r="K10" s="16"/>
      <c r="L10" s="25">
        <f>51970+33895</f>
        <v>85865</v>
      </c>
      <c r="M10" s="8">
        <v>-5629</v>
      </c>
      <c r="N10" s="8">
        <f t="shared" si="1"/>
        <v>14.32276897414512</v>
      </c>
      <c r="O10" s="8">
        <v>5995</v>
      </c>
      <c r="P10" s="8">
        <v>53</v>
      </c>
      <c r="Q10" s="16">
        <v>627</v>
      </c>
      <c r="R10" s="25">
        <f>41610+36905</f>
        <v>78515</v>
      </c>
      <c r="S10" s="8">
        <v>20455</v>
      </c>
      <c r="T10" s="8">
        <f t="shared" si="2"/>
        <v>11.423686890731849</v>
      </c>
      <c r="U10" s="8">
        <v>6873</v>
      </c>
      <c r="V10" s="8">
        <v>123</v>
      </c>
      <c r="W10" s="16">
        <v>726</v>
      </c>
      <c r="X10" s="20">
        <f>50608+42543</f>
        <v>93151</v>
      </c>
      <c r="Y10" s="8">
        <v>-10213</v>
      </c>
      <c r="Z10" s="8">
        <f t="shared" si="3"/>
        <v>16.878238811378871</v>
      </c>
      <c r="AA10" s="8">
        <v>5519</v>
      </c>
      <c r="AB10" s="8">
        <v>264</v>
      </c>
      <c r="AC10" s="16">
        <v>1537</v>
      </c>
    </row>
    <row r="11" spans="4:29" x14ac:dyDescent="0.25">
      <c r="D11" s="2" t="s">
        <v>15</v>
      </c>
      <c r="E11" s="8">
        <f>96010+46762</f>
        <v>142772</v>
      </c>
      <c r="F11" s="8">
        <v>-46929</v>
      </c>
      <c r="G11" s="8">
        <f t="shared" si="0"/>
        <v>22.152366175329714</v>
      </c>
      <c r="H11" s="8">
        <v>6445</v>
      </c>
      <c r="I11" s="8">
        <v>8291</v>
      </c>
      <c r="J11" s="8">
        <v>15637</v>
      </c>
      <c r="K11" s="16"/>
      <c r="L11" s="25">
        <f>53362+33827</f>
        <v>87189</v>
      </c>
      <c r="M11" s="8">
        <v>52223</v>
      </c>
      <c r="N11" s="8">
        <f t="shared" si="1"/>
        <v>14.160955010557089</v>
      </c>
      <c r="O11" s="8">
        <v>6157</v>
      </c>
      <c r="P11" s="8">
        <v>193</v>
      </c>
      <c r="Q11" s="16">
        <v>1383</v>
      </c>
      <c r="R11" s="25">
        <f>69379+47718</f>
        <v>117097</v>
      </c>
      <c r="S11" s="8">
        <v>10519</v>
      </c>
      <c r="T11" s="8">
        <f t="shared" si="2"/>
        <v>15.781266846361186</v>
      </c>
      <c r="U11" s="8">
        <v>7420</v>
      </c>
      <c r="V11" s="8">
        <v>2474</v>
      </c>
      <c r="W11" s="16">
        <v>1214</v>
      </c>
      <c r="X11" s="20">
        <f>46614+45849</f>
        <v>92463</v>
      </c>
      <c r="Y11" s="8">
        <v>46206</v>
      </c>
      <c r="Z11" s="8">
        <f t="shared" si="3"/>
        <v>13.279190004308488</v>
      </c>
      <c r="AA11" s="8">
        <v>6963</v>
      </c>
      <c r="AB11" s="8">
        <v>5095</v>
      </c>
      <c r="AC11" s="16">
        <v>2252</v>
      </c>
    </row>
    <row r="12" spans="4:29" x14ac:dyDescent="0.25">
      <c r="D12" s="2" t="s">
        <v>16</v>
      </c>
      <c r="E12" s="8">
        <f>51810+40336</f>
        <v>92146</v>
      </c>
      <c r="F12" s="8">
        <v>-3300</v>
      </c>
      <c r="G12" s="8">
        <f t="shared" si="0"/>
        <v>15.250910294604436</v>
      </c>
      <c r="H12" s="8">
        <v>6042</v>
      </c>
      <c r="I12" s="8">
        <v>9222</v>
      </c>
      <c r="J12" s="8">
        <v>28282</v>
      </c>
      <c r="K12" s="16"/>
      <c r="L12" s="25">
        <f>48868+45118</f>
        <v>93986</v>
      </c>
      <c r="M12" s="8">
        <v>-2011</v>
      </c>
      <c r="N12" s="8">
        <f t="shared" si="1"/>
        <v>15.264901737859347</v>
      </c>
      <c r="O12" s="8">
        <v>6157</v>
      </c>
      <c r="P12" s="8">
        <v>316</v>
      </c>
      <c r="Q12" s="16">
        <v>2146</v>
      </c>
      <c r="R12" s="25">
        <f>79070+42910</f>
        <v>121980</v>
      </c>
      <c r="S12" s="8">
        <v>-21593</v>
      </c>
      <c r="T12" s="8">
        <f t="shared" si="2"/>
        <v>17.356289129197496</v>
      </c>
      <c r="U12" s="8">
        <v>7028</v>
      </c>
      <c r="V12" s="8">
        <v>48710</v>
      </c>
      <c r="W12" s="16">
        <v>43410</v>
      </c>
      <c r="X12" s="20">
        <f>57724+45824</f>
        <v>103548</v>
      </c>
      <c r="Y12" s="8">
        <v>-2796</v>
      </c>
      <c r="Z12" s="8">
        <f t="shared" si="3"/>
        <v>15.306430155210643</v>
      </c>
      <c r="AA12" s="8">
        <v>6765</v>
      </c>
      <c r="AB12" s="8">
        <v>19534</v>
      </c>
      <c r="AC12" s="16">
        <v>2434</v>
      </c>
    </row>
    <row r="13" spans="4:29" x14ac:dyDescent="0.25">
      <c r="D13" s="2" t="s">
        <v>17</v>
      </c>
      <c r="E13" s="8">
        <f>64638+33566</f>
        <v>98204</v>
      </c>
      <c r="F13" s="8">
        <v>-16007</v>
      </c>
      <c r="G13" s="8">
        <f t="shared" si="0"/>
        <v>16.535443677386766</v>
      </c>
      <c r="H13" s="8">
        <v>5939</v>
      </c>
      <c r="I13" s="8">
        <v>11704</v>
      </c>
      <c r="J13" s="8">
        <v>36558</v>
      </c>
      <c r="K13" s="16"/>
      <c r="L13" s="25">
        <f>62912+35272</f>
        <v>98184</v>
      </c>
      <c r="M13" s="8">
        <v>22059</v>
      </c>
      <c r="N13" s="8">
        <f t="shared" si="1"/>
        <v>10.892389616152652</v>
      </c>
      <c r="O13" s="8">
        <v>9014</v>
      </c>
      <c r="P13" s="8">
        <v>319</v>
      </c>
      <c r="Q13" s="16">
        <v>2156</v>
      </c>
      <c r="R13" s="25">
        <f>68188+52965</f>
        <v>121153</v>
      </c>
      <c r="S13" s="8">
        <v>734</v>
      </c>
      <c r="T13" s="8">
        <f t="shared" si="2"/>
        <v>13.110377664754896</v>
      </c>
      <c r="U13" s="8">
        <v>9241</v>
      </c>
      <c r="V13" s="8">
        <v>20826</v>
      </c>
      <c r="W13" s="16">
        <v>15286</v>
      </c>
      <c r="X13" s="20">
        <f>69839+32645</f>
        <v>102484</v>
      </c>
      <c r="Y13" s="8">
        <v>12290</v>
      </c>
      <c r="Z13" s="8">
        <f t="shared" si="3"/>
        <v>12.878110077909023</v>
      </c>
      <c r="AA13" s="8">
        <v>7958</v>
      </c>
      <c r="AB13" s="8">
        <v>30339</v>
      </c>
      <c r="AC13" s="16">
        <v>12643</v>
      </c>
    </row>
    <row r="14" spans="4:29" x14ac:dyDescent="0.25">
      <c r="D14" s="2" t="s">
        <v>18</v>
      </c>
      <c r="E14" s="8">
        <f>79130+46392</f>
        <v>125522</v>
      </c>
      <c r="F14" s="8">
        <v>-57738</v>
      </c>
      <c r="G14" s="8">
        <f t="shared" si="0"/>
        <v>25.939656953916099</v>
      </c>
      <c r="H14" s="8">
        <v>4839</v>
      </c>
      <c r="I14" s="8">
        <v>533</v>
      </c>
      <c r="J14" s="8">
        <v>14853</v>
      </c>
      <c r="K14" s="16"/>
      <c r="L14" s="25">
        <f>42566+51052</f>
        <v>93618</v>
      </c>
      <c r="M14" s="8">
        <v>-19510</v>
      </c>
      <c r="N14" s="8">
        <f t="shared" si="1"/>
        <v>19.84272997032641</v>
      </c>
      <c r="O14" s="8">
        <v>4718</v>
      </c>
      <c r="P14" s="8">
        <v>364</v>
      </c>
      <c r="Q14" s="16">
        <v>1502</v>
      </c>
      <c r="R14" s="25">
        <f>-9631+52470</f>
        <v>42839</v>
      </c>
      <c r="S14" s="8">
        <v>53146</v>
      </c>
      <c r="T14" s="8">
        <f t="shared" si="2"/>
        <v>7.0055600981193784</v>
      </c>
      <c r="U14" s="8">
        <v>6115</v>
      </c>
      <c r="V14" s="8">
        <v>102344</v>
      </c>
      <c r="W14" s="16">
        <v>51047</v>
      </c>
      <c r="X14" s="20">
        <f>37592+51608</f>
        <v>89200</v>
      </c>
      <c r="Y14" s="8">
        <v>5889</v>
      </c>
      <c r="Z14" s="8">
        <f t="shared" si="3"/>
        <v>16.710378418883476</v>
      </c>
      <c r="AA14" s="8">
        <v>5338</v>
      </c>
      <c r="AB14" s="8">
        <v>27728</v>
      </c>
      <c r="AC14" s="16">
        <v>11748</v>
      </c>
    </row>
    <row r="15" spans="4:29" x14ac:dyDescent="0.25">
      <c r="D15" s="2" t="s">
        <v>19</v>
      </c>
      <c r="E15" s="8">
        <f>54473+24731</f>
        <v>79204</v>
      </c>
      <c r="F15" s="8">
        <v>-28296</v>
      </c>
      <c r="G15" s="8">
        <f t="shared" si="0"/>
        <v>22.013340744858255</v>
      </c>
      <c r="H15" s="8">
        <v>3598</v>
      </c>
      <c r="I15" s="8">
        <v>312</v>
      </c>
      <c r="J15" s="8">
        <v>7797</v>
      </c>
      <c r="K15" s="16"/>
      <c r="L15" s="25">
        <f>60091+30078</f>
        <v>90169</v>
      </c>
      <c r="M15" s="8">
        <v>-25145</v>
      </c>
      <c r="N15" s="8">
        <f t="shared" si="1"/>
        <v>21.597365269461079</v>
      </c>
      <c r="O15" s="8">
        <v>4175</v>
      </c>
      <c r="P15" s="8">
        <v>233</v>
      </c>
      <c r="Q15" s="16">
        <v>1064</v>
      </c>
      <c r="R15" s="25">
        <f>38436+30680</f>
        <v>69116</v>
      </c>
      <c r="S15" s="8">
        <v>6381</v>
      </c>
      <c r="T15" s="8">
        <f t="shared" si="2"/>
        <v>13.94592413236481</v>
      </c>
      <c r="U15" s="8">
        <v>4956</v>
      </c>
      <c r="V15" s="8">
        <v>8111</v>
      </c>
      <c r="W15" s="16">
        <v>2451</v>
      </c>
      <c r="X15" s="20">
        <f>88908+28029</f>
        <v>116937</v>
      </c>
      <c r="Y15" s="8">
        <v>-57008</v>
      </c>
      <c r="Z15" s="8">
        <f t="shared" si="3"/>
        <v>30.539827631235308</v>
      </c>
      <c r="AA15" s="8">
        <v>3829</v>
      </c>
      <c r="AB15" s="8">
        <v>6487</v>
      </c>
      <c r="AC15" s="16">
        <v>4013</v>
      </c>
    </row>
    <row r="16" spans="4:29" x14ac:dyDescent="0.25">
      <c r="D16" s="2" t="s">
        <v>20</v>
      </c>
      <c r="E16" s="8">
        <f>49606+24546</f>
        <v>74152</v>
      </c>
      <c r="F16" s="8">
        <v>-34414</v>
      </c>
      <c r="G16" s="8">
        <f t="shared" si="0"/>
        <v>20.609227348526961</v>
      </c>
      <c r="H16" s="8">
        <v>3598</v>
      </c>
      <c r="I16" s="8">
        <v>166</v>
      </c>
      <c r="J16" s="8">
        <v>848</v>
      </c>
      <c r="K16" s="16"/>
      <c r="L16" s="25">
        <f>23522+25703</f>
        <v>49225</v>
      </c>
      <c r="M16" s="8">
        <v>-5977</v>
      </c>
      <c r="N16" s="8">
        <f t="shared" si="1"/>
        <v>13.070897503983005</v>
      </c>
      <c r="O16" s="8">
        <v>3766</v>
      </c>
      <c r="P16" s="8">
        <v>234</v>
      </c>
      <c r="Q16" s="16">
        <v>982</v>
      </c>
      <c r="R16" s="25">
        <f>20153+27272</f>
        <v>47425</v>
      </c>
      <c r="S16" s="8">
        <v>-12769</v>
      </c>
      <c r="T16" s="8">
        <f t="shared" si="2"/>
        <v>13.55</v>
      </c>
      <c r="U16" s="8">
        <v>3500</v>
      </c>
      <c r="V16" s="8">
        <v>656</v>
      </c>
      <c r="W16" s="16">
        <v>2159</v>
      </c>
      <c r="X16" s="20">
        <f>35229+23575</f>
        <v>58804</v>
      </c>
      <c r="Y16" s="8">
        <v>-26690</v>
      </c>
      <c r="Z16" s="8">
        <f t="shared" si="3"/>
        <v>22.880933852140078</v>
      </c>
      <c r="AA16" s="8">
        <v>2570</v>
      </c>
      <c r="AB16" s="8">
        <v>4483</v>
      </c>
      <c r="AC16" s="16">
        <v>3453</v>
      </c>
    </row>
    <row r="17" spans="4:29" ht="15.75" thickBot="1" x14ac:dyDescent="0.3">
      <c r="D17" s="4" t="s">
        <v>21</v>
      </c>
      <c r="E17" s="9">
        <f>23730+25325</f>
        <v>49055</v>
      </c>
      <c r="F17" s="9">
        <v>-44622</v>
      </c>
      <c r="G17" s="9">
        <f>E17/H17</f>
        <v>155.23734177215189</v>
      </c>
      <c r="H17" s="9">
        <v>316</v>
      </c>
      <c r="I17" s="9">
        <v>325</v>
      </c>
      <c r="J17" s="9">
        <v>1289</v>
      </c>
      <c r="K17" s="21"/>
      <c r="L17" s="26">
        <f>60035+22962</f>
        <v>82997</v>
      </c>
      <c r="M17" s="9">
        <v>-68306</v>
      </c>
      <c r="N17" s="9">
        <f>L17/O17</f>
        <v>97.528789659224444</v>
      </c>
      <c r="O17" s="9">
        <v>851</v>
      </c>
      <c r="P17" s="9">
        <v>240</v>
      </c>
      <c r="Q17" s="21">
        <v>774</v>
      </c>
      <c r="R17" s="26">
        <f>37570+22830</f>
        <v>60400</v>
      </c>
      <c r="S17" s="9">
        <v>-54012</v>
      </c>
      <c r="T17" s="9">
        <f>R17/U17</f>
        <v>202.68456375838926</v>
      </c>
      <c r="U17" s="9">
        <v>298</v>
      </c>
      <c r="V17" s="9">
        <v>245</v>
      </c>
      <c r="W17" s="21">
        <v>1375</v>
      </c>
      <c r="X17" s="22">
        <f>27589+18368</f>
        <v>45957</v>
      </c>
      <c r="Y17" s="9">
        <v>-38561</v>
      </c>
      <c r="Z17" s="9">
        <f>X17/AA17</f>
        <v>90.46653543307086</v>
      </c>
      <c r="AA17" s="9">
        <v>508</v>
      </c>
      <c r="AB17" s="9">
        <v>290</v>
      </c>
      <c r="AC17" s="21">
        <v>1884</v>
      </c>
    </row>
    <row r="19" spans="4:29" x14ac:dyDescent="0.25">
      <c r="I19" t="s">
        <v>22</v>
      </c>
    </row>
    <row r="20" spans="4:29" x14ac:dyDescent="0.25">
      <c r="I20" t="s">
        <v>23</v>
      </c>
    </row>
    <row r="21" spans="4:29" x14ac:dyDescent="0.25">
      <c r="I21" t="s">
        <v>24</v>
      </c>
    </row>
    <row r="22" spans="4:29" x14ac:dyDescent="0.25">
      <c r="I22" t="s">
        <v>25</v>
      </c>
    </row>
    <row r="23" spans="4:29" x14ac:dyDescent="0.25">
      <c r="I23" t="s">
        <v>26</v>
      </c>
    </row>
    <row r="24" spans="4:29" x14ac:dyDescent="0.25">
      <c r="I24" t="s">
        <v>27</v>
      </c>
    </row>
    <row r="66" spans="9:12" x14ac:dyDescent="0.25">
      <c r="I66" t="s">
        <v>28</v>
      </c>
    </row>
    <row r="67" spans="9:12" x14ac:dyDescent="0.25">
      <c r="I67">
        <v>156</v>
      </c>
      <c r="J67">
        <v>1</v>
      </c>
      <c r="K67">
        <v>27000</v>
      </c>
      <c r="L67" s="13">
        <f>K67*J67*I67</f>
        <v>4212000</v>
      </c>
    </row>
    <row r="69" spans="9:12" x14ac:dyDescent="0.25">
      <c r="L69" t="s">
        <v>29</v>
      </c>
    </row>
    <row r="70" spans="9:12" x14ac:dyDescent="0.25">
      <c r="I70">
        <v>50</v>
      </c>
      <c r="J70">
        <v>1</v>
      </c>
      <c r="K70">
        <v>27000</v>
      </c>
      <c r="L70" s="13">
        <f>K70*J70*I70</f>
        <v>1350000</v>
      </c>
    </row>
    <row r="80" spans="9:12" x14ac:dyDescent="0.25">
      <c r="J80" t="s">
        <v>42</v>
      </c>
      <c r="K80" t="s">
        <v>34</v>
      </c>
    </row>
    <row r="81" spans="9:11" x14ac:dyDescent="0.25">
      <c r="I81" s="8">
        <v>7</v>
      </c>
      <c r="J81" s="15">
        <f>I81*100</f>
        <v>700</v>
      </c>
      <c r="K81" s="15">
        <f>J81/43560</f>
        <v>1.6069788797061526E-2</v>
      </c>
    </row>
    <row r="82" spans="9:11" x14ac:dyDescent="0.25">
      <c r="I82" s="8">
        <v>8</v>
      </c>
      <c r="J82" s="15">
        <f t="shared" ref="J82:J92" si="4">I82*100</f>
        <v>800</v>
      </c>
      <c r="K82" s="15">
        <f t="shared" ref="K82:K92" si="5">J82/43560</f>
        <v>1.8365472910927456E-2</v>
      </c>
    </row>
    <row r="83" spans="9:11" x14ac:dyDescent="0.25">
      <c r="I83" s="8">
        <v>15</v>
      </c>
      <c r="J83" s="15">
        <f t="shared" si="4"/>
        <v>1500</v>
      </c>
      <c r="K83" s="15">
        <f t="shared" si="5"/>
        <v>3.4435261707988982E-2</v>
      </c>
    </row>
    <row r="84" spans="9:11" x14ac:dyDescent="0.25">
      <c r="I84" s="8">
        <v>882</v>
      </c>
      <c r="J84" s="15">
        <f t="shared" si="4"/>
        <v>88200</v>
      </c>
      <c r="K84" s="15">
        <f t="shared" si="5"/>
        <v>2.0247933884297522</v>
      </c>
    </row>
    <row r="85" spans="9:11" x14ac:dyDescent="0.25">
      <c r="I85" s="8">
        <v>1837</v>
      </c>
      <c r="J85" s="15">
        <f t="shared" si="4"/>
        <v>183700</v>
      </c>
      <c r="K85" s="15">
        <f t="shared" si="5"/>
        <v>4.2171717171717171</v>
      </c>
    </row>
    <row r="86" spans="9:11" x14ac:dyDescent="0.25">
      <c r="I86" s="8">
        <v>8291</v>
      </c>
      <c r="J86" s="15">
        <f t="shared" si="4"/>
        <v>829100</v>
      </c>
      <c r="K86" s="15">
        <f t="shared" si="5"/>
        <v>19.033516988062441</v>
      </c>
    </row>
    <row r="87" spans="9:11" x14ac:dyDescent="0.25">
      <c r="I87" s="8">
        <v>9222</v>
      </c>
      <c r="J87" s="15">
        <f t="shared" si="4"/>
        <v>922200</v>
      </c>
      <c r="K87" s="15">
        <f t="shared" si="5"/>
        <v>21.170798898071624</v>
      </c>
    </row>
    <row r="88" spans="9:11" x14ac:dyDescent="0.25">
      <c r="I88" s="8">
        <v>11704</v>
      </c>
      <c r="J88" s="15">
        <f t="shared" si="4"/>
        <v>1170400</v>
      </c>
      <c r="K88" s="15">
        <f t="shared" si="5"/>
        <v>26.868686868686869</v>
      </c>
    </row>
    <row r="89" spans="9:11" x14ac:dyDescent="0.25">
      <c r="I89" s="8">
        <v>533</v>
      </c>
      <c r="J89" s="15">
        <f t="shared" si="4"/>
        <v>53300</v>
      </c>
      <c r="K89" s="15">
        <f t="shared" si="5"/>
        <v>1.2235996326905418</v>
      </c>
    </row>
    <row r="90" spans="9:11" x14ac:dyDescent="0.25">
      <c r="I90" s="8">
        <v>312</v>
      </c>
      <c r="J90" s="15">
        <f t="shared" si="4"/>
        <v>31200</v>
      </c>
      <c r="K90" s="15">
        <f t="shared" si="5"/>
        <v>0.71625344352617082</v>
      </c>
    </row>
    <row r="91" spans="9:11" x14ac:dyDescent="0.25">
      <c r="I91" s="8">
        <v>166</v>
      </c>
      <c r="J91" s="15">
        <f t="shared" si="4"/>
        <v>16600</v>
      </c>
      <c r="K91" s="15">
        <f t="shared" si="5"/>
        <v>0.38108356290174472</v>
      </c>
    </row>
    <row r="92" spans="9:11" ht="15.75" thickBot="1" x14ac:dyDescent="0.3">
      <c r="I92" s="9">
        <v>325</v>
      </c>
      <c r="J92" s="15">
        <f t="shared" si="4"/>
        <v>32500</v>
      </c>
      <c r="K92" s="15">
        <f t="shared" si="5"/>
        <v>0.74609733700642789</v>
      </c>
    </row>
  </sheetData>
  <mergeCells count="5">
    <mergeCell ref="D3:AC3"/>
    <mergeCell ref="E4:J4"/>
    <mergeCell ref="L4:Q4"/>
    <mergeCell ref="R4:W4"/>
    <mergeCell ref="X4:AC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D952-03A3-436C-B1EE-4DC8A702C6E7}">
  <dimension ref="B2:W36"/>
  <sheetViews>
    <sheetView topLeftCell="J13" workbookViewId="0">
      <selection activeCell="V20" sqref="V20"/>
    </sheetView>
  </sheetViews>
  <sheetFormatPr defaultRowHeight="15" x14ac:dyDescent="0.25"/>
  <cols>
    <col min="2" max="2" width="5" bestFit="1" customWidth="1"/>
    <col min="3" max="4" width="15.5703125" bestFit="1" customWidth="1"/>
    <col min="5" max="5" width="8.140625" bestFit="1" customWidth="1"/>
    <col min="6" max="6" width="5.7109375" bestFit="1" customWidth="1"/>
    <col min="7" max="12" width="8" bestFit="1" customWidth="1"/>
    <col min="13" max="13" width="14.7109375" bestFit="1" customWidth="1"/>
    <col min="14" max="14" width="7.140625" bestFit="1" customWidth="1"/>
    <col min="21" max="21" width="12.5703125" bestFit="1" customWidth="1"/>
    <col min="22" max="22" width="9.42578125" bestFit="1" customWidth="1"/>
    <col min="23" max="23" width="9.7109375" bestFit="1" customWidth="1"/>
  </cols>
  <sheetData>
    <row r="2" spans="2:21" ht="15.75" thickBot="1" x14ac:dyDescent="0.3"/>
    <row r="3" spans="2:21" ht="25.5" customHeight="1" thickBot="1" x14ac:dyDescent="0.3">
      <c r="B3" s="58">
        <v>2016</v>
      </c>
      <c r="C3" s="153" t="s">
        <v>47</v>
      </c>
      <c r="D3" s="154"/>
      <c r="E3" s="155" t="s">
        <v>48</v>
      </c>
      <c r="F3" s="154"/>
      <c r="G3" s="155" t="s">
        <v>49</v>
      </c>
      <c r="H3" s="153"/>
      <c r="I3" s="153" t="s">
        <v>50</v>
      </c>
      <c r="J3" s="153"/>
      <c r="K3" s="153" t="s">
        <v>51</v>
      </c>
      <c r="L3" s="154"/>
      <c r="M3" s="155" t="s">
        <v>52</v>
      </c>
      <c r="N3" s="156"/>
    </row>
    <row r="4" spans="2:21" x14ac:dyDescent="0.25">
      <c r="B4" s="157" t="s">
        <v>53</v>
      </c>
      <c r="C4" s="159" t="s">
        <v>54</v>
      </c>
      <c r="D4" s="161" t="s">
        <v>55</v>
      </c>
      <c r="E4" s="163" t="s">
        <v>56</v>
      </c>
      <c r="F4" s="161" t="s">
        <v>57</v>
      </c>
      <c r="G4" s="163" t="s">
        <v>58</v>
      </c>
      <c r="H4" s="159" t="s">
        <v>59</v>
      </c>
      <c r="I4" s="159" t="s">
        <v>58</v>
      </c>
      <c r="J4" s="159" t="s">
        <v>59</v>
      </c>
      <c r="K4" s="159" t="s">
        <v>58</v>
      </c>
      <c r="L4" s="161" t="s">
        <v>59</v>
      </c>
      <c r="M4" s="163" t="s">
        <v>60</v>
      </c>
      <c r="N4" s="165" t="s">
        <v>61</v>
      </c>
    </row>
    <row r="5" spans="2:21" ht="15.75" thickBot="1" x14ac:dyDescent="0.3">
      <c r="B5" s="158"/>
      <c r="C5" s="160"/>
      <c r="D5" s="162"/>
      <c r="E5" s="164"/>
      <c r="F5" s="162"/>
      <c r="G5" s="164"/>
      <c r="H5" s="160"/>
      <c r="I5" s="160"/>
      <c r="J5" s="160"/>
      <c r="K5" s="160"/>
      <c r="L5" s="162"/>
      <c r="M5" s="164"/>
      <c r="N5" s="166"/>
    </row>
    <row r="6" spans="2:21" ht="20.25" thickBot="1" x14ac:dyDescent="0.3">
      <c r="B6" s="59">
        <v>1</v>
      </c>
      <c r="C6" s="48" t="s">
        <v>62</v>
      </c>
      <c r="D6" s="48" t="s">
        <v>63</v>
      </c>
      <c r="E6" s="49">
        <v>0.38800925925925928</v>
      </c>
      <c r="F6" s="48" t="s">
        <v>64</v>
      </c>
      <c r="G6" s="50">
        <v>0.2590277777777778</v>
      </c>
      <c r="H6" s="51">
        <v>0.78333333333333333</v>
      </c>
      <c r="I6" s="51">
        <v>0.28194444444444444</v>
      </c>
      <c r="J6" s="51">
        <v>0.76041666666666663</v>
      </c>
      <c r="K6" s="51">
        <v>0.30555555555555552</v>
      </c>
      <c r="L6" s="51">
        <v>0.7368055555555556</v>
      </c>
      <c r="M6" s="52" t="s">
        <v>65</v>
      </c>
      <c r="N6" s="60">
        <v>91.403999999999996</v>
      </c>
    </row>
    <row r="7" spans="2:21" ht="20.25" thickBot="1" x14ac:dyDescent="0.3">
      <c r="B7" s="61">
        <v>2</v>
      </c>
      <c r="C7" s="53" t="s">
        <v>62</v>
      </c>
      <c r="D7" s="53" t="s">
        <v>66</v>
      </c>
      <c r="E7" s="54">
        <v>0.38853009259259258</v>
      </c>
      <c r="F7" s="53" t="s">
        <v>67</v>
      </c>
      <c r="G7" s="55">
        <v>0.2590277777777778</v>
      </c>
      <c r="H7" s="56">
        <v>0.78402777777777777</v>
      </c>
      <c r="I7" s="56">
        <v>0.28194444444444444</v>
      </c>
      <c r="J7" s="56">
        <v>0.76111111111111107</v>
      </c>
      <c r="K7" s="56">
        <v>0.30624999999999997</v>
      </c>
      <c r="L7" s="56">
        <v>0.73749999999999993</v>
      </c>
      <c r="M7" s="57" t="s">
        <v>68</v>
      </c>
      <c r="N7" s="62">
        <v>91.403999999999996</v>
      </c>
    </row>
    <row r="8" spans="2:21" ht="20.25" thickBot="1" x14ac:dyDescent="0.3">
      <c r="B8" s="59">
        <v>3</v>
      </c>
      <c r="C8" s="48" t="s">
        <v>62</v>
      </c>
      <c r="D8" s="48" t="s">
        <v>69</v>
      </c>
      <c r="E8" s="49">
        <v>0.38908564814814817</v>
      </c>
      <c r="F8" s="48" t="s">
        <v>70</v>
      </c>
      <c r="G8" s="50">
        <v>0.2590277777777778</v>
      </c>
      <c r="H8" s="51">
        <v>0.78472222222222221</v>
      </c>
      <c r="I8" s="51">
        <v>0.28194444444444444</v>
      </c>
      <c r="J8" s="51">
        <v>0.76180555555555562</v>
      </c>
      <c r="K8" s="51">
        <v>0.30624999999999997</v>
      </c>
      <c r="L8" s="51">
        <v>0.73749999999999993</v>
      </c>
      <c r="M8" s="52" t="s">
        <v>68</v>
      </c>
      <c r="N8" s="60">
        <v>91.403999999999996</v>
      </c>
    </row>
    <row r="9" spans="2:21" ht="20.25" thickBot="1" x14ac:dyDescent="0.3">
      <c r="B9" s="61">
        <v>4</v>
      </c>
      <c r="C9" s="53" t="s">
        <v>62</v>
      </c>
      <c r="D9" s="53" t="s">
        <v>71</v>
      </c>
      <c r="E9" s="54">
        <v>0.38968749999999996</v>
      </c>
      <c r="F9" s="53" t="s">
        <v>72</v>
      </c>
      <c r="G9" s="55">
        <v>0.2590277777777778</v>
      </c>
      <c r="H9" s="56">
        <v>0.78541666666666676</v>
      </c>
      <c r="I9" s="56">
        <v>0.28194444444444444</v>
      </c>
      <c r="J9" s="56">
        <v>0.76250000000000007</v>
      </c>
      <c r="K9" s="56">
        <v>0.30624999999999997</v>
      </c>
      <c r="L9" s="56">
        <v>0.73819444444444438</v>
      </c>
      <c r="M9" s="57" t="s">
        <v>73</v>
      </c>
      <c r="N9" s="62">
        <v>91.405000000000001</v>
      </c>
    </row>
    <row r="10" spans="2:21" ht="20.25" thickBot="1" x14ac:dyDescent="0.3">
      <c r="B10" s="59">
        <v>5</v>
      </c>
      <c r="C10" s="48" t="s">
        <v>62</v>
      </c>
      <c r="D10" s="48" t="s">
        <v>71</v>
      </c>
      <c r="E10" s="49">
        <v>0.39033564814814814</v>
      </c>
      <c r="F10" s="48" t="s">
        <v>74</v>
      </c>
      <c r="G10" s="50">
        <v>0.2590277777777778</v>
      </c>
      <c r="H10" s="51">
        <v>0.78611111111111109</v>
      </c>
      <c r="I10" s="51">
        <v>0.28194444444444444</v>
      </c>
      <c r="J10" s="51">
        <v>0.76250000000000007</v>
      </c>
      <c r="K10" s="51">
        <v>0.30624999999999997</v>
      </c>
      <c r="L10" s="51">
        <v>0.73888888888888893</v>
      </c>
      <c r="M10" s="52" t="s">
        <v>75</v>
      </c>
      <c r="N10" s="60">
        <v>91.406000000000006</v>
      </c>
    </row>
    <row r="11" spans="2:21" ht="20.25" thickBot="1" x14ac:dyDescent="0.3">
      <c r="B11" s="61">
        <v>6</v>
      </c>
      <c r="C11" s="53" t="s">
        <v>62</v>
      </c>
      <c r="D11" s="53" t="s">
        <v>76</v>
      </c>
      <c r="E11" s="54">
        <v>0.39101851851851849</v>
      </c>
      <c r="F11" s="53" t="s">
        <v>77</v>
      </c>
      <c r="G11" s="55">
        <v>0.2590277777777778</v>
      </c>
      <c r="H11" s="56">
        <v>0.78611111111111109</v>
      </c>
      <c r="I11" s="56">
        <v>0.28263888888888888</v>
      </c>
      <c r="J11" s="56">
        <v>0.7631944444444444</v>
      </c>
      <c r="K11" s="56">
        <v>0.30624999999999997</v>
      </c>
      <c r="L11" s="56">
        <v>0.73958333333333337</v>
      </c>
      <c r="M11" s="57" t="s">
        <v>78</v>
      </c>
      <c r="N11" s="62">
        <v>91.406999999999996</v>
      </c>
    </row>
    <row r="12" spans="2:21" ht="20.25" thickBot="1" x14ac:dyDescent="0.3">
      <c r="B12" s="59">
        <v>7</v>
      </c>
      <c r="C12" s="48" t="s">
        <v>79</v>
      </c>
      <c r="D12" s="48" t="s">
        <v>80</v>
      </c>
      <c r="E12" s="49">
        <v>0.39174768518518516</v>
      </c>
      <c r="F12" s="48" t="s">
        <v>81</v>
      </c>
      <c r="G12" s="50">
        <v>0.2590277777777778</v>
      </c>
      <c r="H12" s="51">
        <v>0.78680555555555554</v>
      </c>
      <c r="I12" s="51">
        <v>0.28263888888888888</v>
      </c>
      <c r="J12" s="51">
        <v>0.76388888888888884</v>
      </c>
      <c r="K12" s="51">
        <v>0.30624999999999997</v>
      </c>
      <c r="L12" s="51">
        <v>0.7402777777777777</v>
      </c>
      <c r="M12" s="52" t="s">
        <v>82</v>
      </c>
      <c r="N12" s="60">
        <v>91.409000000000006</v>
      </c>
    </row>
    <row r="13" spans="2:21" ht="20.25" thickBot="1" x14ac:dyDescent="0.3">
      <c r="B13" s="61">
        <v>8</v>
      </c>
      <c r="C13" s="53" t="s">
        <v>79</v>
      </c>
      <c r="D13" s="53" t="s">
        <v>83</v>
      </c>
      <c r="E13" s="54">
        <v>0.39252314814814815</v>
      </c>
      <c r="F13" s="53" t="s">
        <v>84</v>
      </c>
      <c r="G13" s="55">
        <v>0.2590277777777778</v>
      </c>
      <c r="H13" s="56">
        <v>0.78749999999999998</v>
      </c>
      <c r="I13" s="56">
        <v>0.28194444444444444</v>
      </c>
      <c r="J13" s="56">
        <v>0.76458333333333339</v>
      </c>
      <c r="K13" s="56">
        <v>0.30624999999999997</v>
      </c>
      <c r="L13" s="56">
        <v>0.74097222222222225</v>
      </c>
      <c r="M13" s="57" t="s">
        <v>85</v>
      </c>
      <c r="N13" s="62">
        <v>91.411000000000001</v>
      </c>
    </row>
    <row r="14" spans="2:21" ht="20.25" thickBot="1" x14ac:dyDescent="0.3">
      <c r="B14" s="59">
        <v>9</v>
      </c>
      <c r="C14" s="48" t="s">
        <v>79</v>
      </c>
      <c r="D14" s="48" t="s">
        <v>86</v>
      </c>
      <c r="E14" s="49">
        <v>0.39333333333333331</v>
      </c>
      <c r="F14" s="48" t="s">
        <v>87</v>
      </c>
      <c r="G14" s="50">
        <v>0.2590277777777778</v>
      </c>
      <c r="H14" s="51">
        <v>0.78819444444444453</v>
      </c>
      <c r="I14" s="51">
        <v>0.28194444444444444</v>
      </c>
      <c r="J14" s="51">
        <v>0.76527777777777783</v>
      </c>
      <c r="K14" s="51">
        <v>0.30624999999999997</v>
      </c>
      <c r="L14" s="51">
        <v>0.7416666666666667</v>
      </c>
      <c r="M14" s="52" t="s">
        <v>88</v>
      </c>
      <c r="N14" s="60">
        <v>91.414000000000001</v>
      </c>
    </row>
    <row r="15" spans="2:21" ht="20.25" thickBot="1" x14ac:dyDescent="0.3">
      <c r="B15" s="61">
        <v>10</v>
      </c>
      <c r="C15" s="53" t="s">
        <v>79</v>
      </c>
      <c r="D15" s="53" t="s">
        <v>89</v>
      </c>
      <c r="E15" s="54">
        <v>0.39417824074074076</v>
      </c>
      <c r="F15" s="53" t="s">
        <v>90</v>
      </c>
      <c r="G15" s="55">
        <v>0.2590277777777778</v>
      </c>
      <c r="H15" s="56">
        <v>0.78888888888888886</v>
      </c>
      <c r="I15" s="56">
        <v>0.28194444444444444</v>
      </c>
      <c r="J15" s="56">
        <v>0.76597222222222217</v>
      </c>
      <c r="K15" s="56">
        <v>0.30555555555555552</v>
      </c>
      <c r="L15" s="56">
        <v>0.74236111111111114</v>
      </c>
      <c r="M15" s="57" t="s">
        <v>91</v>
      </c>
      <c r="N15" s="62">
        <v>91.415999999999997</v>
      </c>
    </row>
    <row r="16" spans="2:21" ht="20.25" thickBot="1" x14ac:dyDescent="0.3">
      <c r="B16" s="59">
        <v>11</v>
      </c>
      <c r="C16" s="48" t="s">
        <v>79</v>
      </c>
      <c r="D16" s="48" t="s">
        <v>92</v>
      </c>
      <c r="E16" s="49">
        <v>0.39506944444444447</v>
      </c>
      <c r="F16" s="48" t="s">
        <v>93</v>
      </c>
      <c r="G16" s="50">
        <v>0.2590277777777778</v>
      </c>
      <c r="H16" s="51">
        <v>0.7895833333333333</v>
      </c>
      <c r="I16" s="51">
        <v>0.28194444444444444</v>
      </c>
      <c r="J16" s="51">
        <v>0.76666666666666661</v>
      </c>
      <c r="K16" s="51">
        <v>0.30555555555555552</v>
      </c>
      <c r="L16" s="51">
        <v>0.74305555555555547</v>
      </c>
      <c r="M16" s="52" t="s">
        <v>94</v>
      </c>
      <c r="N16" s="60">
        <v>91.42</v>
      </c>
      <c r="T16" t="s">
        <v>1349</v>
      </c>
      <c r="U16" s="7">
        <v>100000</v>
      </c>
    </row>
    <row r="17" spans="2:23" ht="20.25" thickBot="1" x14ac:dyDescent="0.3">
      <c r="B17" s="61">
        <v>12</v>
      </c>
      <c r="C17" s="53" t="s">
        <v>95</v>
      </c>
      <c r="D17" s="53" t="s">
        <v>96</v>
      </c>
      <c r="E17" s="54">
        <v>0.39599537037037041</v>
      </c>
      <c r="F17" s="53" t="s">
        <v>97</v>
      </c>
      <c r="G17" s="55">
        <v>0.2590277777777778</v>
      </c>
      <c r="H17" s="56">
        <v>0.79027777777777775</v>
      </c>
      <c r="I17" s="56">
        <v>0.28194444444444444</v>
      </c>
      <c r="J17" s="56">
        <v>0.76736111111111116</v>
      </c>
      <c r="K17" s="56">
        <v>0.30555555555555552</v>
      </c>
      <c r="L17" s="56">
        <v>0.74375000000000002</v>
      </c>
      <c r="M17" s="57" t="s">
        <v>98</v>
      </c>
      <c r="N17" s="62">
        <v>91.423000000000002</v>
      </c>
    </row>
    <row r="18" spans="2:23" ht="20.25" thickBot="1" x14ac:dyDescent="0.3">
      <c r="B18" s="59">
        <v>13</v>
      </c>
      <c r="C18" s="48" t="s">
        <v>95</v>
      </c>
      <c r="D18" s="48" t="s">
        <v>99</v>
      </c>
      <c r="E18" s="49">
        <v>0.39696759259259262</v>
      </c>
      <c r="F18" s="48" t="s">
        <v>100</v>
      </c>
      <c r="G18" s="50">
        <v>0.2590277777777778</v>
      </c>
      <c r="H18" s="51">
        <v>0.7909722222222223</v>
      </c>
      <c r="I18" s="51">
        <v>0.28194444444444444</v>
      </c>
      <c r="J18" s="51">
        <v>0.7680555555555556</v>
      </c>
      <c r="K18" s="51">
        <v>0.30555555555555552</v>
      </c>
      <c r="L18" s="51">
        <v>0.74444444444444446</v>
      </c>
      <c r="M18" s="52" t="s">
        <v>101</v>
      </c>
      <c r="N18" s="60">
        <v>91.427000000000007</v>
      </c>
      <c r="U18" t="s">
        <v>1343</v>
      </c>
      <c r="V18" t="s">
        <v>1346</v>
      </c>
      <c r="W18" t="s">
        <v>1347</v>
      </c>
    </row>
    <row r="19" spans="2:23" ht="20.25" thickBot="1" x14ac:dyDescent="0.3">
      <c r="B19" s="61">
        <v>14</v>
      </c>
      <c r="C19" s="53" t="s">
        <v>95</v>
      </c>
      <c r="D19" s="53" t="s">
        <v>102</v>
      </c>
      <c r="E19" s="54">
        <v>0.39796296296296302</v>
      </c>
      <c r="F19" s="53" t="s">
        <v>103</v>
      </c>
      <c r="G19" s="55">
        <v>0.2590277777777778</v>
      </c>
      <c r="H19" s="56">
        <v>0.79166666666666663</v>
      </c>
      <c r="I19" s="56">
        <v>0.28194444444444444</v>
      </c>
      <c r="J19" s="56">
        <v>0.76874999999999993</v>
      </c>
      <c r="K19" s="56">
        <v>0.30486111111111108</v>
      </c>
      <c r="L19" s="56">
        <v>0.74513888888888891</v>
      </c>
      <c r="M19" s="57" t="s">
        <v>104</v>
      </c>
      <c r="N19" s="62">
        <v>91.430999999999997</v>
      </c>
      <c r="V19" t="s">
        <v>1348</v>
      </c>
      <c r="W19" t="s">
        <v>1348</v>
      </c>
    </row>
    <row r="20" spans="2:23" ht="20.25" thickBot="1" x14ac:dyDescent="0.3">
      <c r="B20" s="59">
        <v>15</v>
      </c>
      <c r="C20" s="48" t="s">
        <v>105</v>
      </c>
      <c r="D20" s="48" t="s">
        <v>106</v>
      </c>
      <c r="E20" s="49">
        <v>0.39900462962962963</v>
      </c>
      <c r="F20" s="48" t="s">
        <v>107</v>
      </c>
      <c r="G20" s="50">
        <v>0.25833333333333336</v>
      </c>
      <c r="H20" s="51">
        <v>0.79236111111111107</v>
      </c>
      <c r="I20" s="51">
        <v>0.28125</v>
      </c>
      <c r="J20" s="51">
        <v>0.76944444444444438</v>
      </c>
      <c r="K20" s="51">
        <v>0.30486111111111108</v>
      </c>
      <c r="L20" s="51">
        <v>0.74583333333333324</v>
      </c>
      <c r="M20" s="52" t="s">
        <v>108</v>
      </c>
      <c r="N20" s="60">
        <v>91.436000000000007</v>
      </c>
      <c r="U20" t="s">
        <v>1344</v>
      </c>
      <c r="V20">
        <v>100</v>
      </c>
      <c r="W20">
        <v>50</v>
      </c>
    </row>
    <row r="21" spans="2:23" ht="20.25" thickBot="1" x14ac:dyDescent="0.3">
      <c r="B21" s="61">
        <v>16</v>
      </c>
      <c r="C21" s="53" t="s">
        <v>109</v>
      </c>
      <c r="D21" s="53" t="s">
        <v>110</v>
      </c>
      <c r="E21" s="54">
        <v>0.40008101851851857</v>
      </c>
      <c r="F21" s="53" t="s">
        <v>111</v>
      </c>
      <c r="G21" s="55">
        <v>0.25833333333333336</v>
      </c>
      <c r="H21" s="56">
        <v>0.79305555555555562</v>
      </c>
      <c r="I21" s="56">
        <v>0.28125</v>
      </c>
      <c r="J21" s="56">
        <v>0.77013888888888893</v>
      </c>
      <c r="K21" s="56">
        <v>0.30486111111111108</v>
      </c>
      <c r="L21" s="56">
        <v>0.74652777777777779</v>
      </c>
      <c r="M21" s="57" t="s">
        <v>112</v>
      </c>
      <c r="N21" s="62">
        <v>91.441000000000003</v>
      </c>
      <c r="U21" t="s">
        <v>1345</v>
      </c>
      <c r="V21">
        <v>250</v>
      </c>
      <c r="W21">
        <v>2.5</v>
      </c>
    </row>
    <row r="22" spans="2:23" ht="20.25" thickBot="1" x14ac:dyDescent="0.3">
      <c r="B22" s="59">
        <v>17</v>
      </c>
      <c r="C22" s="48" t="s">
        <v>113</v>
      </c>
      <c r="D22" s="48" t="s">
        <v>114</v>
      </c>
      <c r="E22" s="49">
        <v>0.4011805555555556</v>
      </c>
      <c r="F22" s="48" t="s">
        <v>115</v>
      </c>
      <c r="G22" s="50">
        <v>0.25833333333333336</v>
      </c>
      <c r="H22" s="51">
        <v>0.79375000000000007</v>
      </c>
      <c r="I22" s="51">
        <v>0.28125</v>
      </c>
      <c r="J22" s="51">
        <v>0.77083333333333337</v>
      </c>
      <c r="K22" s="51">
        <v>0.30416666666666664</v>
      </c>
      <c r="L22" s="51">
        <v>0.74722222222222223</v>
      </c>
      <c r="M22" s="52" t="s">
        <v>116</v>
      </c>
      <c r="N22" s="60">
        <v>91.447000000000003</v>
      </c>
    </row>
    <row r="23" spans="2:23" ht="20.25" thickBot="1" x14ac:dyDescent="0.3">
      <c r="B23" s="61">
        <v>18</v>
      </c>
      <c r="C23" s="53" t="s">
        <v>113</v>
      </c>
      <c r="D23" s="53" t="s">
        <v>117</v>
      </c>
      <c r="E23" s="54">
        <v>0.40232638888888889</v>
      </c>
      <c r="F23" s="53" t="s">
        <v>118</v>
      </c>
      <c r="G23" s="55">
        <v>0.25833333333333336</v>
      </c>
      <c r="H23" s="56">
        <v>0.7944444444444444</v>
      </c>
      <c r="I23" s="56">
        <v>0.28055555555555556</v>
      </c>
      <c r="J23" s="56">
        <v>0.7715277777777777</v>
      </c>
      <c r="K23" s="56">
        <v>0.30416666666666664</v>
      </c>
      <c r="L23" s="56">
        <v>0.74791666666666667</v>
      </c>
      <c r="M23" s="57" t="s">
        <v>119</v>
      </c>
      <c r="N23" s="62">
        <v>91.453000000000003</v>
      </c>
    </row>
    <row r="24" spans="2:23" ht="20.25" thickBot="1" x14ac:dyDescent="0.3">
      <c r="B24" s="59">
        <v>19</v>
      </c>
      <c r="C24" s="48" t="s">
        <v>120</v>
      </c>
      <c r="D24" s="48" t="s">
        <v>121</v>
      </c>
      <c r="E24" s="49">
        <v>0.40349537037037037</v>
      </c>
      <c r="F24" s="48" t="s">
        <v>122</v>
      </c>
      <c r="G24" s="50">
        <v>0.25763888888888892</v>
      </c>
      <c r="H24" s="51">
        <v>0.79513888888888884</v>
      </c>
      <c r="I24" s="51">
        <v>0.28055555555555556</v>
      </c>
      <c r="J24" s="51">
        <v>0.77222222222222225</v>
      </c>
      <c r="K24" s="51">
        <v>0.3034722222222222</v>
      </c>
      <c r="L24" s="51">
        <v>0.74861111111111101</v>
      </c>
      <c r="M24" s="52" t="s">
        <v>123</v>
      </c>
      <c r="N24" s="60">
        <v>91.459000000000003</v>
      </c>
    </row>
    <row r="25" spans="2:23" ht="20.25" thickBot="1" x14ac:dyDescent="0.3">
      <c r="B25" s="61">
        <v>20</v>
      </c>
      <c r="C25" s="53" t="s">
        <v>124</v>
      </c>
      <c r="D25" s="53" t="s">
        <v>125</v>
      </c>
      <c r="E25" s="54">
        <v>0.40469907407407407</v>
      </c>
      <c r="F25" s="53" t="s">
        <v>126</v>
      </c>
      <c r="G25" s="55">
        <v>0.25763888888888892</v>
      </c>
      <c r="H25" s="56">
        <v>0.79583333333333339</v>
      </c>
      <c r="I25" s="56">
        <v>0.27986111111111112</v>
      </c>
      <c r="J25" s="56">
        <v>0.7729166666666667</v>
      </c>
      <c r="K25" s="56">
        <v>0.3034722222222222</v>
      </c>
      <c r="L25" s="56">
        <v>0.74930555555555556</v>
      </c>
      <c r="M25" s="57" t="s">
        <v>127</v>
      </c>
      <c r="N25" s="62">
        <v>91.465999999999994</v>
      </c>
    </row>
    <row r="26" spans="2:23" ht="20.25" thickBot="1" x14ac:dyDescent="0.3">
      <c r="B26" s="59">
        <v>21</v>
      </c>
      <c r="C26" s="48" t="s">
        <v>128</v>
      </c>
      <c r="D26" s="48" t="s">
        <v>129</v>
      </c>
      <c r="E26" s="49">
        <v>0.40593750000000001</v>
      </c>
      <c r="F26" s="48" t="s">
        <v>130</v>
      </c>
      <c r="G26" s="50">
        <v>0.25694444444444448</v>
      </c>
      <c r="H26" s="51">
        <v>0.79652777777777783</v>
      </c>
      <c r="I26" s="51">
        <v>0.27986111111111112</v>
      </c>
      <c r="J26" s="51">
        <v>0.77361111111111114</v>
      </c>
      <c r="K26" s="51">
        <v>0.30277777777777776</v>
      </c>
      <c r="L26" s="51">
        <v>0.75069444444444444</v>
      </c>
      <c r="M26" s="52" t="s">
        <v>131</v>
      </c>
      <c r="N26" s="60">
        <v>91.474000000000004</v>
      </c>
    </row>
    <row r="27" spans="2:23" ht="20.25" thickBot="1" x14ac:dyDescent="0.3">
      <c r="B27" s="61">
        <v>22</v>
      </c>
      <c r="C27" s="53" t="s">
        <v>128</v>
      </c>
      <c r="D27" s="53" t="s">
        <v>132</v>
      </c>
      <c r="E27" s="54">
        <v>0.40719907407407407</v>
      </c>
      <c r="F27" s="53" t="s">
        <v>133</v>
      </c>
      <c r="G27" s="55">
        <v>0.25694444444444448</v>
      </c>
      <c r="H27" s="56">
        <v>0.79722222222222217</v>
      </c>
      <c r="I27" s="56">
        <v>0.27986111111111112</v>
      </c>
      <c r="J27" s="56">
        <v>0.77430555555555547</v>
      </c>
      <c r="K27" s="56">
        <v>0.30277777777777776</v>
      </c>
      <c r="L27" s="56">
        <v>0.75138888888888899</v>
      </c>
      <c r="M27" s="57" t="s">
        <v>134</v>
      </c>
      <c r="N27" s="62">
        <v>91.481999999999999</v>
      </c>
    </row>
    <row r="28" spans="2:23" ht="20.25" thickBot="1" x14ac:dyDescent="0.3">
      <c r="B28" s="59">
        <v>23</v>
      </c>
      <c r="C28" s="48" t="s">
        <v>135</v>
      </c>
      <c r="D28" s="48" t="s">
        <v>136</v>
      </c>
      <c r="E28" s="49">
        <v>0.40848379629629633</v>
      </c>
      <c r="F28" s="48" t="s">
        <v>137</v>
      </c>
      <c r="G28" s="50">
        <v>0.25625000000000003</v>
      </c>
      <c r="H28" s="51">
        <v>0.79791666666666661</v>
      </c>
      <c r="I28" s="51">
        <v>0.27916666666666667</v>
      </c>
      <c r="J28" s="51">
        <v>0.77500000000000002</v>
      </c>
      <c r="K28" s="51">
        <v>0.30208333333333331</v>
      </c>
      <c r="L28" s="51">
        <v>0.75208333333333333</v>
      </c>
      <c r="M28" s="52" t="s">
        <v>138</v>
      </c>
      <c r="N28" s="60">
        <v>91.491</v>
      </c>
    </row>
    <row r="29" spans="2:23" ht="20.25" thickBot="1" x14ac:dyDescent="0.3">
      <c r="B29" s="61">
        <v>24</v>
      </c>
      <c r="C29" s="53" t="s">
        <v>139</v>
      </c>
      <c r="D29" s="53" t="s">
        <v>140</v>
      </c>
      <c r="E29" s="54">
        <v>0.4098148148148148</v>
      </c>
      <c r="F29" s="53" t="s">
        <v>141</v>
      </c>
      <c r="G29" s="55">
        <v>0.25625000000000003</v>
      </c>
      <c r="H29" s="56">
        <v>0.79861111111111116</v>
      </c>
      <c r="I29" s="56">
        <v>0.27847222222222223</v>
      </c>
      <c r="J29" s="56">
        <v>0.77569444444444446</v>
      </c>
      <c r="K29" s="56">
        <v>0.30208333333333331</v>
      </c>
      <c r="L29" s="56">
        <v>0.75277777777777777</v>
      </c>
      <c r="M29" s="57" t="s">
        <v>142</v>
      </c>
      <c r="N29" s="62">
        <v>91.501000000000005</v>
      </c>
    </row>
    <row r="30" spans="2:23" ht="20.25" thickBot="1" x14ac:dyDescent="0.3">
      <c r="B30" s="59">
        <v>25</v>
      </c>
      <c r="C30" s="48" t="s">
        <v>143</v>
      </c>
      <c r="D30" s="48" t="s">
        <v>144</v>
      </c>
      <c r="E30" s="49">
        <v>0.41115740740740742</v>
      </c>
      <c r="F30" s="48" t="s">
        <v>145</v>
      </c>
      <c r="G30" s="50">
        <v>0.25555555555555559</v>
      </c>
      <c r="H30" s="51">
        <v>0.7993055555555556</v>
      </c>
      <c r="I30" s="51">
        <v>0.27847222222222223</v>
      </c>
      <c r="J30" s="51">
        <v>0.77638888888888891</v>
      </c>
      <c r="K30" s="51">
        <v>0.30138888888888887</v>
      </c>
      <c r="L30" s="51">
        <v>0.75347222222222221</v>
      </c>
      <c r="M30" s="52" t="s">
        <v>146</v>
      </c>
      <c r="N30" s="60">
        <v>91.51</v>
      </c>
    </row>
    <row r="31" spans="2:23" ht="20.25" thickBot="1" x14ac:dyDescent="0.3">
      <c r="B31" s="61">
        <v>26</v>
      </c>
      <c r="C31" s="53" t="s">
        <v>147</v>
      </c>
      <c r="D31" s="53" t="s">
        <v>148</v>
      </c>
      <c r="E31" s="54">
        <v>0.41253472222222221</v>
      </c>
      <c r="F31" s="53" t="s">
        <v>149</v>
      </c>
      <c r="G31" s="55">
        <v>0.25555555555555559</v>
      </c>
      <c r="H31" s="56">
        <v>0.79999999999999993</v>
      </c>
      <c r="I31" s="56">
        <v>0.27777777777777779</v>
      </c>
      <c r="J31" s="56">
        <v>0.77708333333333324</v>
      </c>
      <c r="K31" s="56">
        <v>0.30069444444444443</v>
      </c>
      <c r="L31" s="56">
        <v>0.75416666666666676</v>
      </c>
      <c r="M31" s="57" t="s">
        <v>150</v>
      </c>
      <c r="N31" s="62">
        <v>91.521000000000001</v>
      </c>
    </row>
    <row r="32" spans="2:23" ht="20.25" thickBot="1" x14ac:dyDescent="0.3">
      <c r="B32" s="59">
        <v>27</v>
      </c>
      <c r="C32" s="48" t="s">
        <v>151</v>
      </c>
      <c r="D32" s="48" t="s">
        <v>152</v>
      </c>
      <c r="E32" s="49">
        <v>0.41393518518518518</v>
      </c>
      <c r="F32" s="48" t="s">
        <v>153</v>
      </c>
      <c r="G32" s="50">
        <v>0.25486111111111109</v>
      </c>
      <c r="H32" s="51">
        <v>0.80069444444444438</v>
      </c>
      <c r="I32" s="51">
        <v>0.27777777777777779</v>
      </c>
      <c r="J32" s="51">
        <v>0.77777777777777779</v>
      </c>
      <c r="K32" s="51">
        <v>0.30069444444444443</v>
      </c>
      <c r="L32" s="51">
        <v>0.75486111111111109</v>
      </c>
      <c r="M32" s="52" t="s">
        <v>154</v>
      </c>
      <c r="N32" s="60">
        <v>91.531999999999996</v>
      </c>
    </row>
    <row r="33" spans="2:14" ht="20.25" thickBot="1" x14ac:dyDescent="0.3">
      <c r="B33" s="61">
        <v>28</v>
      </c>
      <c r="C33" s="53" t="s">
        <v>155</v>
      </c>
      <c r="D33" s="53" t="s">
        <v>156</v>
      </c>
      <c r="E33" s="54">
        <v>0.4153587962962963</v>
      </c>
      <c r="F33" s="53" t="s">
        <v>157</v>
      </c>
      <c r="G33" s="55">
        <v>0.25486111111111109</v>
      </c>
      <c r="H33" s="56">
        <v>0.80138888888888893</v>
      </c>
      <c r="I33" s="56">
        <v>0.27708333333333335</v>
      </c>
      <c r="J33" s="56">
        <v>0.77916666666666667</v>
      </c>
      <c r="K33" s="56">
        <v>0.3</v>
      </c>
      <c r="L33" s="56">
        <v>0.75555555555555554</v>
      </c>
      <c r="M33" s="57" t="s">
        <v>158</v>
      </c>
      <c r="N33" s="62">
        <v>91.543999999999997</v>
      </c>
    </row>
    <row r="34" spans="2:14" ht="20.25" thickBot="1" x14ac:dyDescent="0.3">
      <c r="B34" s="59">
        <v>29</v>
      </c>
      <c r="C34" s="48" t="s">
        <v>159</v>
      </c>
      <c r="D34" s="48" t="s">
        <v>160</v>
      </c>
      <c r="E34" s="49">
        <v>0.4168055555555556</v>
      </c>
      <c r="F34" s="48" t="s">
        <v>161</v>
      </c>
      <c r="G34" s="50">
        <v>0.25416666666666665</v>
      </c>
      <c r="H34" s="51">
        <v>0.80208333333333337</v>
      </c>
      <c r="I34" s="51">
        <v>0.27638888888888885</v>
      </c>
      <c r="J34" s="51">
        <v>0.77986111111111101</v>
      </c>
      <c r="K34" s="51">
        <v>0.29930555555555555</v>
      </c>
      <c r="L34" s="51">
        <v>0.75694444444444453</v>
      </c>
      <c r="M34" s="52" t="s">
        <v>162</v>
      </c>
      <c r="N34" s="60">
        <v>91.555999999999997</v>
      </c>
    </row>
    <row r="35" spans="2:14" ht="20.25" thickBot="1" x14ac:dyDescent="0.3">
      <c r="B35" s="61">
        <v>30</v>
      </c>
      <c r="C35" s="53" t="s">
        <v>163</v>
      </c>
      <c r="D35" s="53" t="s">
        <v>164</v>
      </c>
      <c r="E35" s="54">
        <v>0.41827546296296297</v>
      </c>
      <c r="F35" s="53" t="s">
        <v>165</v>
      </c>
      <c r="G35" s="55">
        <v>0.25347222222222221</v>
      </c>
      <c r="H35" s="56">
        <v>0.8027777777777777</v>
      </c>
      <c r="I35" s="56">
        <v>0.27569444444444446</v>
      </c>
      <c r="J35" s="56">
        <v>0.78055555555555556</v>
      </c>
      <c r="K35" s="56">
        <v>0.2986111111111111</v>
      </c>
      <c r="L35" s="56">
        <v>0.75763888888888886</v>
      </c>
      <c r="M35" s="57" t="s">
        <v>166</v>
      </c>
      <c r="N35" s="62">
        <v>91.567999999999998</v>
      </c>
    </row>
    <row r="36" spans="2:14" ht="20.25" thickBot="1" x14ac:dyDescent="0.3">
      <c r="B36" s="63">
        <v>31</v>
      </c>
      <c r="C36" s="64" t="s">
        <v>167</v>
      </c>
      <c r="D36" s="64" t="s">
        <v>168</v>
      </c>
      <c r="E36" s="65">
        <v>0.41976851851851849</v>
      </c>
      <c r="F36" s="64" t="s">
        <v>169</v>
      </c>
      <c r="G36" s="66">
        <v>0.25277777777777777</v>
      </c>
      <c r="H36" s="67">
        <v>0.80347222222222225</v>
      </c>
      <c r="I36" s="67">
        <v>0.27569444444444446</v>
      </c>
      <c r="J36" s="67">
        <v>0.78125</v>
      </c>
      <c r="K36" s="67">
        <v>0.29791666666666666</v>
      </c>
      <c r="L36" s="67">
        <v>0.7583333333333333</v>
      </c>
      <c r="M36" s="68" t="s">
        <v>170</v>
      </c>
      <c r="N36" s="69">
        <v>91.581000000000003</v>
      </c>
    </row>
  </sheetData>
  <mergeCells count="19">
    <mergeCell ref="K3:L3"/>
    <mergeCell ref="M3:N3"/>
    <mergeCell ref="G4:G5"/>
    <mergeCell ref="C3:D3"/>
    <mergeCell ref="E3:F3"/>
    <mergeCell ref="G3:H3"/>
    <mergeCell ref="I3:J3"/>
    <mergeCell ref="N4:N5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CDD6749BB5884C846D900E2B2F7888" ma:contentTypeVersion="12" ma:contentTypeDescription="Create a new document." ma:contentTypeScope="" ma:versionID="09a0bcc6fab78f27017d47638ba3af35">
  <xsd:schema xmlns:xsd="http://www.w3.org/2001/XMLSchema" xmlns:xs="http://www.w3.org/2001/XMLSchema" xmlns:p="http://schemas.microsoft.com/office/2006/metadata/properties" xmlns:ns3="64ce675a-6b5f-4aa3-83b5-328e148b9ebf" xmlns:ns4="2d97c2b7-1c90-480d-a968-23486e3f4385" targetNamespace="http://schemas.microsoft.com/office/2006/metadata/properties" ma:root="true" ma:fieldsID="45a2474183ed3d2fa5a5b4e119693a2e" ns3:_="" ns4:_="">
    <xsd:import namespace="64ce675a-6b5f-4aa3-83b5-328e148b9ebf"/>
    <xsd:import namespace="2d97c2b7-1c90-480d-a968-23486e3f43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675a-6b5f-4aa3-83b5-328e148b9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7c2b7-1c90-480d-a968-23486e3f4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0BE438-E92D-4BF9-9D2D-7655207C14CF}">
  <ds:schemaRefs>
    <ds:schemaRef ds:uri="http://www.w3.org/XML/1998/namespace"/>
    <ds:schemaRef ds:uri="http://purl.org/dc/dcmitype/"/>
    <ds:schemaRef ds:uri="http://purl.org/dc/terms/"/>
    <ds:schemaRef ds:uri="64ce675a-6b5f-4aa3-83b5-328e148b9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d97c2b7-1c90-480d-a968-23486e3f4385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84730E2-8DE9-4D8D-B22C-427DEBF35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ce675a-6b5f-4aa3-83b5-328e148b9ebf"/>
    <ds:schemaRef ds:uri="2d97c2b7-1c90-480d-a968-23486e3f4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DBED4-B3FC-4308-A1B5-62D62E2132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</vt:lpstr>
      <vt:lpstr>2016</vt:lpstr>
      <vt:lpstr>2017</vt:lpstr>
      <vt:lpstr>2018</vt:lpstr>
      <vt:lpstr>2019</vt:lpstr>
      <vt:lpstr>OLD</vt:lpstr>
      <vt:lpstr>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Jairus Anderson</dc:creator>
  <cp:keywords/>
  <dc:description/>
  <cp:lastModifiedBy>technician</cp:lastModifiedBy>
  <cp:revision/>
  <dcterms:created xsi:type="dcterms:W3CDTF">2020-10-06T08:08:24Z</dcterms:created>
  <dcterms:modified xsi:type="dcterms:W3CDTF">2020-12-14T00:54:55Z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0x010100EDCDD6749BB5884C846D900E2B2F7888</vt:lpwstr>
  </property>
</Properties>
</file>