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ogle Drive\Jannik Tablet\MeinGit\Schule\BWL\"/>
    </mc:Choice>
  </mc:AlternateContent>
  <xr:revisionPtr revIDLastSave="0" documentId="13_ncr:1_{5FF8502D-8620-4A4B-AA0B-C8EF402AFDD1}" xr6:coauthVersionLast="47" xr6:coauthVersionMax="47" xr10:uidLastSave="{00000000-0000-0000-0000-000000000000}"/>
  <bookViews>
    <workbookView xWindow="-98" yWindow="-98" windowWidth="21795" windowHeight="12975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5" l="1"/>
  <c r="C10" i="5"/>
  <c r="I3" i="5" s="1"/>
  <c r="B10" i="5"/>
  <c r="I6" i="5"/>
  <c r="I5" i="5"/>
  <c r="I2" i="5"/>
  <c r="I19" i="4"/>
  <c r="I16" i="4"/>
  <c r="I11" i="4"/>
  <c r="I10" i="4"/>
  <c r="I9" i="4"/>
  <c r="F11" i="4"/>
  <c r="E11" i="4"/>
  <c r="I8" i="4"/>
  <c r="D10" i="4"/>
  <c r="C10" i="4"/>
  <c r="I3" i="4" s="1"/>
  <c r="B10" i="4"/>
  <c r="I6" i="4"/>
  <c r="I5" i="4"/>
  <c r="I2" i="4"/>
  <c r="I24" i="3"/>
  <c r="I23" i="3"/>
  <c r="I21" i="3"/>
  <c r="I22" i="3"/>
  <c r="I20" i="3"/>
  <c r="I19" i="3"/>
  <c r="I18" i="3"/>
  <c r="I17" i="3"/>
  <c r="I16" i="3"/>
  <c r="I15" i="3"/>
  <c r="I14" i="3"/>
  <c r="I10" i="3"/>
  <c r="I11" i="3"/>
  <c r="F11" i="3"/>
  <c r="E11" i="3"/>
  <c r="E10" i="3"/>
  <c r="I8" i="3"/>
  <c r="C10" i="3"/>
  <c r="D10" i="3"/>
  <c r="B10" i="3"/>
  <c r="I5" i="3"/>
  <c r="I2" i="3"/>
  <c r="I11" i="2"/>
  <c r="I10" i="2"/>
  <c r="I9" i="2"/>
  <c r="E11" i="2"/>
  <c r="E12" i="2" s="1"/>
  <c r="I8" i="2"/>
  <c r="I7" i="2"/>
  <c r="I6" i="2"/>
  <c r="I5" i="2"/>
  <c r="I4" i="2"/>
  <c r="I3" i="2"/>
  <c r="I2" i="2"/>
  <c r="F11" i="2"/>
  <c r="F12" i="2"/>
  <c r="D12" i="2"/>
  <c r="C10" i="2"/>
  <c r="D10" i="2"/>
  <c r="E10" i="2"/>
  <c r="F10" i="2"/>
  <c r="B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C12" i="2"/>
  <c r="E13" i="1"/>
  <c r="F13" i="1"/>
  <c r="D13" i="1"/>
  <c r="C13" i="1"/>
  <c r="B3" i="1"/>
  <c r="B4" i="1"/>
  <c r="B5" i="1"/>
  <c r="B6" i="1"/>
  <c r="B7" i="1"/>
  <c r="B8" i="1"/>
  <c r="B9" i="1"/>
  <c r="B10" i="1"/>
  <c r="B11" i="1"/>
  <c r="C11" i="1"/>
  <c r="D11" i="1"/>
  <c r="E11" i="1"/>
  <c r="F11" i="1"/>
  <c r="I4" i="5" l="1"/>
  <c r="I8" i="5"/>
  <c r="I9" i="5" s="1"/>
  <c r="I4" i="4"/>
  <c r="I6" i="3"/>
  <c r="F11" i="5" l="1"/>
  <c r="I11" i="5" s="1"/>
  <c r="E11" i="5"/>
  <c r="I10" i="5" s="1"/>
  <c r="F10" i="5"/>
  <c r="F10" i="3"/>
  <c r="I3" i="3"/>
  <c r="I4" i="3" s="1"/>
  <c r="I9" i="3" s="1"/>
  <c r="I13" i="3" s="1"/>
  <c r="E10" i="5" l="1"/>
  <c r="I13" i="5"/>
  <c r="I14" i="5" s="1"/>
  <c r="I15" i="5" s="1"/>
  <c r="I17" i="5" s="1"/>
  <c r="E10" i="4"/>
  <c r="F10" i="4"/>
  <c r="I16" i="5" l="1"/>
  <c r="I18" i="5" s="1"/>
  <c r="I13" i="4"/>
  <c r="I14" i="4" s="1"/>
  <c r="I15" i="4" s="1"/>
  <c r="I19" i="5" l="1"/>
  <c r="I20" i="5" s="1"/>
  <c r="I21" i="5" s="1"/>
  <c r="I22" i="5" s="1"/>
  <c r="I17" i="4"/>
  <c r="I18" i="4" l="1"/>
  <c r="I20" i="4" s="1"/>
  <c r="I24" i="4" l="1"/>
  <c r="I21" i="4"/>
  <c r="I22" i="4" s="1"/>
  <c r="I23" i="4" s="1"/>
</calcChain>
</file>

<file path=xl/sharedStrings.xml><?xml version="1.0" encoding="utf-8"?>
<sst xmlns="http://schemas.openxmlformats.org/spreadsheetml/2006/main" count="183" uniqueCount="54">
  <si>
    <t>Summe:</t>
  </si>
  <si>
    <t>Kostenart</t>
  </si>
  <si>
    <t>Material (€)</t>
  </si>
  <si>
    <t>Fertigung (€)</t>
  </si>
  <si>
    <t>Verwaltung (€)</t>
  </si>
  <si>
    <t>Vertrieb (€)</t>
  </si>
  <si>
    <t>Betriebsstoffkosten</t>
  </si>
  <si>
    <t>Gehälter</t>
  </si>
  <si>
    <t>Sozialkosten</t>
  </si>
  <si>
    <t>Instandhaltung</t>
  </si>
  <si>
    <t>Betriebssteuern</t>
  </si>
  <si>
    <t>Kalk. Abschreibungen</t>
  </si>
  <si>
    <t>Energiekosten</t>
  </si>
  <si>
    <t>Sonstige Kosten</t>
  </si>
  <si>
    <t>Zahlen der Kostenleistungsrechnung</t>
  </si>
  <si>
    <t>Kostenstellen</t>
  </si>
  <si>
    <t>Abrechnungszeitraum:</t>
  </si>
  <si>
    <t>Zuschlagsgrundlagen:
Einzelkosten</t>
  </si>
  <si>
    <t>Gemeinkostenzuschlagssätze in %:</t>
  </si>
  <si>
    <t>Stromverbrauch</t>
  </si>
  <si>
    <t>Raumkosten</t>
  </si>
  <si>
    <t>Hilfslöhne</t>
  </si>
  <si>
    <t>Kalk. Abschreibung nach dem Wert des Anlagevermögens</t>
  </si>
  <si>
    <t>Kalk. Zinsen nach dem Wert des Umlaufvermögens</t>
  </si>
  <si>
    <t>Gesetzlicher sozialer Aufwand nach der Zahl der Mitarbeiter</t>
  </si>
  <si>
    <t>MEK</t>
  </si>
  <si>
    <t>MGK</t>
  </si>
  <si>
    <t>MK</t>
  </si>
  <si>
    <t>FEK</t>
  </si>
  <si>
    <t>FGK</t>
  </si>
  <si>
    <t>FK</t>
  </si>
  <si>
    <t>HK</t>
  </si>
  <si>
    <t>VWGK</t>
  </si>
  <si>
    <t>VTGK</t>
  </si>
  <si>
    <t>SK</t>
  </si>
  <si>
    <t>SEKF</t>
  </si>
  <si>
    <t>SEKV</t>
  </si>
  <si>
    <t>G</t>
  </si>
  <si>
    <t>Gewinn</t>
  </si>
  <si>
    <t>Kundenskonto</t>
  </si>
  <si>
    <t>Vertriebsprovision</t>
  </si>
  <si>
    <t>Rabatt</t>
  </si>
  <si>
    <t>BvP</t>
  </si>
  <si>
    <t>Skonto</t>
  </si>
  <si>
    <t>Provision</t>
  </si>
  <si>
    <t>ZvP</t>
  </si>
  <si>
    <t>Angebot</t>
  </si>
  <si>
    <t>Mwst</t>
  </si>
  <si>
    <t>Wmst</t>
  </si>
  <si>
    <t>Stück netto#</t>
  </si>
  <si>
    <t>Stück brutto</t>
  </si>
  <si>
    <t>Angebot netto</t>
  </si>
  <si>
    <t>Angebot Brutto</t>
  </si>
  <si>
    <t>Stück netto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</si>
</sst>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07]_-;\-* #,##0.00\ [$€-407]_-;_-* &quot;-&quot;??\ [$€-407]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 wrapText="1"/>
    </xf>
    <xf numFmtId="164" fontId="0" fillId="0" borderId="0" xfId="0" applyNumberFormat="1"/>
    <xf numFmtId="164" fontId="0" fillId="0" borderId="5" xfId="0" applyNumberFormat="1" applyBorder="1"/>
    <xf numFmtId="164" fontId="1" fillId="0" borderId="0" xfId="0" applyNumberFormat="1" applyFont="1" applyAlignment="1">
      <alignment vertical="center" wrapText="1"/>
    </xf>
    <xf numFmtId="0" fontId="0" fillId="0" borderId="4" xfId="0" applyBorder="1" applyAlignment="1">
      <alignment wrapText="1"/>
    </xf>
    <xf numFmtId="164" fontId="1" fillId="0" borderId="5" xfId="0" applyNumberFormat="1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7" xfId="1" applyNumberFormat="1" applyFont="1" applyBorder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sqref="A1:G13"/>
    </sheetView>
  </sheetViews>
  <sheetFormatPr defaultColWidth="13.86328125" defaultRowHeight="14.25" x14ac:dyDescent="0.45"/>
  <cols>
    <col min="1" max="1" width="27.9296875" bestFit="1" customWidth="1"/>
    <col min="7" max="7" width="18.53125" bestFit="1" customWidth="1"/>
  </cols>
  <sheetData>
    <row r="1" spans="1:7" x14ac:dyDescent="0.45">
      <c r="A1" s="1"/>
      <c r="B1" s="2"/>
      <c r="C1" s="19" t="s">
        <v>15</v>
      </c>
      <c r="D1" s="19"/>
      <c r="E1" s="19"/>
      <c r="F1" s="20"/>
      <c r="G1" t="s">
        <v>16</v>
      </c>
    </row>
    <row r="2" spans="1:7" ht="42.75" x14ac:dyDescent="0.45">
      <c r="A2" s="3" t="s">
        <v>1</v>
      </c>
      <c r="B2" s="4" t="s">
        <v>14</v>
      </c>
      <c r="C2" s="5" t="s">
        <v>2</v>
      </c>
      <c r="D2" s="5" t="s">
        <v>3</v>
      </c>
      <c r="E2" s="5" t="s">
        <v>4</v>
      </c>
      <c r="F2" s="6" t="s">
        <v>5</v>
      </c>
    </row>
    <row r="3" spans="1:7" x14ac:dyDescent="0.45">
      <c r="A3" s="7" t="s">
        <v>6</v>
      </c>
      <c r="B3" s="16">
        <f t="shared" ref="B3:B10" si="0">SUM(C3:F3)</f>
        <v>10000</v>
      </c>
      <c r="C3" s="12">
        <v>2700</v>
      </c>
      <c r="D3" s="12">
        <v>5300</v>
      </c>
      <c r="E3" s="12">
        <v>100</v>
      </c>
      <c r="F3" s="13">
        <v>1900</v>
      </c>
    </row>
    <row r="4" spans="1:7" x14ac:dyDescent="0.45">
      <c r="A4" s="7" t="s">
        <v>7</v>
      </c>
      <c r="B4" s="16">
        <f t="shared" si="0"/>
        <v>9000</v>
      </c>
      <c r="C4" s="12">
        <v>400</v>
      </c>
      <c r="D4" s="12">
        <v>1000</v>
      </c>
      <c r="E4" s="12">
        <v>5400</v>
      </c>
      <c r="F4" s="13">
        <v>2200</v>
      </c>
    </row>
    <row r="5" spans="1:7" x14ac:dyDescent="0.45">
      <c r="A5" s="7" t="s">
        <v>8</v>
      </c>
      <c r="B5" s="16">
        <f t="shared" si="0"/>
        <v>1300</v>
      </c>
      <c r="C5" s="12">
        <v>100</v>
      </c>
      <c r="D5" s="12">
        <v>200</v>
      </c>
      <c r="E5" s="12">
        <v>700</v>
      </c>
      <c r="F5" s="13">
        <v>300</v>
      </c>
    </row>
    <row r="6" spans="1:7" x14ac:dyDescent="0.45">
      <c r="A6" s="7" t="s">
        <v>9</v>
      </c>
      <c r="B6" s="16">
        <f t="shared" si="0"/>
        <v>11500</v>
      </c>
      <c r="C6" s="12">
        <v>2000</v>
      </c>
      <c r="D6" s="12">
        <v>8400</v>
      </c>
      <c r="E6" s="12">
        <v>200</v>
      </c>
      <c r="F6" s="13">
        <v>900</v>
      </c>
    </row>
    <row r="7" spans="1:7" x14ac:dyDescent="0.45">
      <c r="A7" s="7" t="s">
        <v>10</v>
      </c>
      <c r="B7" s="16">
        <f t="shared" si="0"/>
        <v>2500</v>
      </c>
      <c r="C7" s="12">
        <v>0</v>
      </c>
      <c r="D7" s="12">
        <v>2000</v>
      </c>
      <c r="E7" s="12">
        <v>500</v>
      </c>
      <c r="F7" s="13">
        <v>0</v>
      </c>
    </row>
    <row r="8" spans="1:7" x14ac:dyDescent="0.45">
      <c r="A8" s="7" t="s">
        <v>11</v>
      </c>
      <c r="B8" s="16">
        <f t="shared" si="0"/>
        <v>12000</v>
      </c>
      <c r="C8" s="12">
        <v>1000</v>
      </c>
      <c r="D8" s="12">
        <v>7000</v>
      </c>
      <c r="E8" s="12">
        <v>3000</v>
      </c>
      <c r="F8" s="13">
        <v>1000</v>
      </c>
    </row>
    <row r="9" spans="1:7" x14ac:dyDescent="0.45">
      <c r="A9" s="7" t="s">
        <v>12</v>
      </c>
      <c r="B9" s="16">
        <f t="shared" si="0"/>
        <v>3000</v>
      </c>
      <c r="C9" s="12">
        <v>200</v>
      </c>
      <c r="D9" s="12">
        <v>2000</v>
      </c>
      <c r="E9" s="12">
        <v>500</v>
      </c>
      <c r="F9" s="13">
        <v>300</v>
      </c>
    </row>
    <row r="10" spans="1:7" x14ac:dyDescent="0.45">
      <c r="A10" s="7" t="s">
        <v>13</v>
      </c>
      <c r="B10" s="16">
        <f t="shared" si="0"/>
        <v>4800</v>
      </c>
      <c r="C10" s="12">
        <v>400</v>
      </c>
      <c r="D10" s="12">
        <v>2400</v>
      </c>
      <c r="E10" s="12">
        <v>800</v>
      </c>
      <c r="F10" s="13">
        <v>1200</v>
      </c>
    </row>
    <row r="11" spans="1:7" x14ac:dyDescent="0.45">
      <c r="A11" s="8" t="s">
        <v>0</v>
      </c>
      <c r="B11" s="16">
        <f>SUM(C11:F11)</f>
        <v>54100</v>
      </c>
      <c r="C11" s="14">
        <f>SUM(C3:C10)</f>
        <v>6800</v>
      </c>
      <c r="D11" s="14">
        <f>SUM(D3:D10)</f>
        <v>28300</v>
      </c>
      <c r="E11" s="14">
        <f>SUM(E3:E10)</f>
        <v>11200</v>
      </c>
      <c r="F11" s="15">
        <f>SUM(F3:F10)</f>
        <v>7800</v>
      </c>
    </row>
    <row r="12" spans="1:7" ht="28.5" x14ac:dyDescent="0.45">
      <c r="A12" s="17" t="s">
        <v>17</v>
      </c>
      <c r="C12" s="14">
        <v>85000</v>
      </c>
      <c r="D12" s="14">
        <v>56600</v>
      </c>
      <c r="E12" s="14">
        <v>176700</v>
      </c>
      <c r="F12" s="15">
        <v>176700</v>
      </c>
    </row>
    <row r="13" spans="1:7" ht="14.65" thickBot="1" x14ac:dyDescent="0.5">
      <c r="A13" s="9" t="s">
        <v>18</v>
      </c>
      <c r="B13" s="10"/>
      <c r="C13" s="10">
        <f>C11*100/C12</f>
        <v>8</v>
      </c>
      <c r="D13" s="10">
        <f>D11*100/D12</f>
        <v>50</v>
      </c>
      <c r="E13" s="10">
        <f t="shared" ref="E13:F13" si="1">E11*100/E12</f>
        <v>6.3384267119411435</v>
      </c>
      <c r="F13" s="11">
        <f t="shared" si="1"/>
        <v>4.4142614601018675</v>
      </c>
    </row>
  </sheetData>
  <mergeCells count="1"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6F7A-37DE-445D-B59B-27A6E39EA469}">
  <dimension ref="A1:I12"/>
  <sheetViews>
    <sheetView zoomScale="85" zoomScaleNormal="85" workbookViewId="0">
      <selection activeCell="E11" sqref="E11"/>
    </sheetView>
  </sheetViews>
  <sheetFormatPr defaultRowHeight="14.25" x14ac:dyDescent="0.45"/>
  <cols>
    <col min="1" max="1" width="27.9296875" bestFit="1" customWidth="1"/>
    <col min="2" max="2" width="14.3984375" customWidth="1"/>
    <col min="3" max="4" width="11.33203125" bestFit="1" customWidth="1"/>
    <col min="5" max="6" width="12.33203125" bestFit="1" customWidth="1"/>
    <col min="7" max="7" width="18.53125" bestFit="1" customWidth="1"/>
    <col min="8" max="8" width="10.33203125" bestFit="1" customWidth="1"/>
    <col min="9" max="9" width="12.9296875" customWidth="1"/>
  </cols>
  <sheetData>
    <row r="1" spans="1:9" x14ac:dyDescent="0.45">
      <c r="A1" s="1"/>
      <c r="B1" s="2"/>
      <c r="C1" s="19" t="s">
        <v>15</v>
      </c>
      <c r="D1" s="19"/>
      <c r="E1" s="19"/>
      <c r="F1" s="20"/>
      <c r="G1" t="s">
        <v>16</v>
      </c>
    </row>
    <row r="2" spans="1:9" ht="42.75" x14ac:dyDescent="0.45">
      <c r="A2" s="3" t="s">
        <v>1</v>
      </c>
      <c r="B2" s="4" t="s">
        <v>14</v>
      </c>
      <c r="C2" s="5" t="s">
        <v>2</v>
      </c>
      <c r="D2" s="5" t="s">
        <v>3</v>
      </c>
      <c r="E2" s="5" t="s">
        <v>4</v>
      </c>
      <c r="F2" s="6" t="s">
        <v>5</v>
      </c>
      <c r="H2" t="s">
        <v>25</v>
      </c>
      <c r="I2" s="14">
        <f>C11</f>
        <v>4850</v>
      </c>
    </row>
    <row r="3" spans="1:9" x14ac:dyDescent="0.45">
      <c r="A3" s="7" t="s">
        <v>19</v>
      </c>
      <c r="B3" s="16">
        <v>100</v>
      </c>
      <c r="C3" s="12">
        <f>B3/10*2</f>
        <v>20</v>
      </c>
      <c r="D3" s="12">
        <f>B3/10*6</f>
        <v>60</v>
      </c>
      <c r="E3" s="12">
        <f>B3/10*1</f>
        <v>10</v>
      </c>
      <c r="F3" s="13">
        <f>B3/10*1</f>
        <v>10</v>
      </c>
      <c r="H3" t="s">
        <v>26</v>
      </c>
      <c r="I3" s="14">
        <f>C10</f>
        <v>970</v>
      </c>
    </row>
    <row r="4" spans="1:9" x14ac:dyDescent="0.45">
      <c r="A4" s="7" t="s">
        <v>20</v>
      </c>
      <c r="B4" s="16">
        <v>300</v>
      </c>
      <c r="C4" s="12">
        <f>0.1*500</f>
        <v>50</v>
      </c>
      <c r="D4" s="12">
        <f>0.1*1500</f>
        <v>150</v>
      </c>
      <c r="E4" s="12">
        <f>0.1*600</f>
        <v>60</v>
      </c>
      <c r="F4" s="13">
        <f>0.1*400</f>
        <v>40</v>
      </c>
      <c r="H4" t="s">
        <v>27</v>
      </c>
      <c r="I4" s="14">
        <f>I2+I3</f>
        <v>5820</v>
      </c>
    </row>
    <row r="5" spans="1:9" x14ac:dyDescent="0.45">
      <c r="A5" s="7" t="s">
        <v>21</v>
      </c>
      <c r="B5" s="16">
        <v>500</v>
      </c>
      <c r="C5" s="12">
        <f>B5*0.4</f>
        <v>200</v>
      </c>
      <c r="D5" s="12">
        <f>B5*0.4</f>
        <v>200</v>
      </c>
      <c r="E5" s="12">
        <f>B5*0.12</f>
        <v>60</v>
      </c>
      <c r="F5" s="13">
        <f>B5*0.08</f>
        <v>40</v>
      </c>
      <c r="H5" t="s">
        <v>28</v>
      </c>
      <c r="I5" s="14">
        <f>D11</f>
        <v>1000</v>
      </c>
    </row>
    <row r="6" spans="1:9" x14ac:dyDescent="0.45">
      <c r="A6" s="7" t="s">
        <v>7</v>
      </c>
      <c r="B6" s="16">
        <v>1000</v>
      </c>
      <c r="C6" s="12">
        <f>B6*0.2</f>
        <v>200</v>
      </c>
      <c r="D6" s="12">
        <f>B6*0.2</f>
        <v>200</v>
      </c>
      <c r="E6" s="12">
        <f>B6*0.32</f>
        <v>320</v>
      </c>
      <c r="F6" s="13">
        <f>B6*0.28</f>
        <v>280</v>
      </c>
      <c r="H6" t="s">
        <v>29</v>
      </c>
      <c r="I6" s="14">
        <f>D10</f>
        <v>1370</v>
      </c>
    </row>
    <row r="7" spans="1:9" ht="28.5" x14ac:dyDescent="0.45">
      <c r="A7" s="7" t="s">
        <v>24</v>
      </c>
      <c r="B7" s="16">
        <v>500</v>
      </c>
      <c r="C7" s="12">
        <f>B7/1000*160</f>
        <v>80</v>
      </c>
      <c r="D7" s="12">
        <f>B7/1000*560</f>
        <v>280</v>
      </c>
      <c r="E7" s="12">
        <f>B7/1000*152</f>
        <v>76</v>
      </c>
      <c r="F7" s="13">
        <f>B7/1000*128</f>
        <v>64</v>
      </c>
      <c r="H7" t="s">
        <v>30</v>
      </c>
      <c r="I7" s="14">
        <f>I5+I6</f>
        <v>2370</v>
      </c>
    </row>
    <row r="8" spans="1:9" ht="28.5" x14ac:dyDescent="0.45">
      <c r="A8" s="7" t="s">
        <v>22</v>
      </c>
      <c r="B8" s="16">
        <v>500</v>
      </c>
      <c r="C8" s="12">
        <f>0.1*1500</f>
        <v>150</v>
      </c>
      <c r="D8" s="12">
        <f>0.1*1500*2</f>
        <v>300</v>
      </c>
      <c r="E8" s="12">
        <f>0.1*300</f>
        <v>30</v>
      </c>
      <c r="F8" s="13">
        <f>0.1*200</f>
        <v>20</v>
      </c>
      <c r="H8" t="s">
        <v>31</v>
      </c>
      <c r="I8" s="14">
        <f>I4+I7</f>
        <v>8190</v>
      </c>
    </row>
    <row r="9" spans="1:9" ht="28.5" x14ac:dyDescent="0.45">
      <c r="A9" s="7" t="s">
        <v>23</v>
      </c>
      <c r="B9" s="16">
        <v>900</v>
      </c>
      <c r="C9" s="12">
        <f>B9/10*3</f>
        <v>270</v>
      </c>
      <c r="D9" s="12">
        <f>B9/10*2</f>
        <v>180</v>
      </c>
      <c r="E9" s="12">
        <f>B9/10*4</f>
        <v>360</v>
      </c>
      <c r="F9" s="13">
        <f>B9/10*1</f>
        <v>90</v>
      </c>
      <c r="H9" t="s">
        <v>32</v>
      </c>
      <c r="I9" s="14">
        <f>E10</f>
        <v>916</v>
      </c>
    </row>
    <row r="10" spans="1:9" x14ac:dyDescent="0.45">
      <c r="A10" s="8" t="s">
        <v>0</v>
      </c>
      <c r="B10" s="16">
        <f>SUM(B3:B9)</f>
        <v>3800</v>
      </c>
      <c r="C10" s="16">
        <f t="shared" ref="C10:F10" si="0">SUM(C3:C9)</f>
        <v>970</v>
      </c>
      <c r="D10" s="16">
        <f t="shared" si="0"/>
        <v>1370</v>
      </c>
      <c r="E10" s="16">
        <f t="shared" si="0"/>
        <v>916</v>
      </c>
      <c r="F10" s="18">
        <f t="shared" si="0"/>
        <v>544</v>
      </c>
      <c r="H10" t="s">
        <v>33</v>
      </c>
      <c r="I10" s="14">
        <f>F10</f>
        <v>544</v>
      </c>
    </row>
    <row r="11" spans="1:9" ht="28.5" x14ac:dyDescent="0.45">
      <c r="A11" s="17" t="s">
        <v>17</v>
      </c>
      <c r="C11" s="14">
        <v>4850</v>
      </c>
      <c r="D11" s="14">
        <v>1000</v>
      </c>
      <c r="E11" s="14">
        <f>I8</f>
        <v>8190</v>
      </c>
      <c r="F11" s="15">
        <f>E11</f>
        <v>8190</v>
      </c>
      <c r="H11" t="s">
        <v>34</v>
      </c>
      <c r="I11" s="14">
        <f>I8+I9+I10</f>
        <v>9650</v>
      </c>
    </row>
    <row r="12" spans="1:9" ht="14.65" thickBot="1" x14ac:dyDescent="0.5">
      <c r="A12" s="9" t="s">
        <v>18</v>
      </c>
      <c r="B12" s="10"/>
      <c r="C12" s="10">
        <f>C10*100/C11</f>
        <v>20</v>
      </c>
      <c r="D12" s="10">
        <f>D10*100/D11</f>
        <v>137</v>
      </c>
      <c r="E12" s="10">
        <f t="shared" ref="E12:F12" si="1">E10*100/E11</f>
        <v>11.184371184371184</v>
      </c>
      <c r="F12" s="11">
        <f t="shared" si="1"/>
        <v>6.6422466422466426</v>
      </c>
    </row>
  </sheetData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D6DC-AED1-4CE1-BDC5-67B88A2CD75F}">
  <dimension ref="A1:L24"/>
  <sheetViews>
    <sheetView workbookViewId="0">
      <selection activeCell="E11" sqref="E11:F11"/>
    </sheetView>
  </sheetViews>
  <sheetFormatPr defaultRowHeight="26.75" customHeight="1" x14ac:dyDescent="0.45"/>
  <cols>
    <col min="1" max="1" width="27.9296875" bestFit="1" customWidth="1"/>
    <col min="2" max="2" width="10.1328125" bestFit="1" customWidth="1"/>
    <col min="3" max="5" width="12.33203125" bestFit="1" customWidth="1"/>
    <col min="6" max="6" width="11.73046875" bestFit="1" customWidth="1"/>
    <col min="7" max="7" width="18.53125" bestFit="1" customWidth="1"/>
    <col min="8" max="8" width="7.33203125" customWidth="1"/>
    <col min="9" max="9" width="17.06640625" customWidth="1"/>
  </cols>
  <sheetData>
    <row r="1" spans="1:12" ht="26.75" customHeight="1" x14ac:dyDescent="0.45">
      <c r="A1" s="1"/>
      <c r="B1" s="2"/>
      <c r="C1" s="19" t="s">
        <v>15</v>
      </c>
      <c r="D1" s="19"/>
      <c r="E1" s="19"/>
      <c r="F1" s="20"/>
      <c r="G1" t="s">
        <v>16</v>
      </c>
    </row>
    <row r="2" spans="1:12" ht="26.75" customHeight="1" x14ac:dyDescent="0.45">
      <c r="A2" s="3" t="s">
        <v>1</v>
      </c>
      <c r="B2" s="4" t="s">
        <v>14</v>
      </c>
      <c r="C2" s="5" t="s">
        <v>2</v>
      </c>
      <c r="D2" s="5" t="s">
        <v>3</v>
      </c>
      <c r="E2" s="5" t="s">
        <v>4</v>
      </c>
      <c r="F2" s="6" t="s">
        <v>5</v>
      </c>
      <c r="H2" t="s">
        <v>25</v>
      </c>
      <c r="I2" s="14">
        <f>C11</f>
        <v>428750</v>
      </c>
    </row>
    <row r="3" spans="1:12" ht="26.75" customHeight="1" x14ac:dyDescent="0.45">
      <c r="A3" s="7" t="s">
        <v>19</v>
      </c>
      <c r="B3" s="16"/>
      <c r="C3" s="12"/>
      <c r="D3" s="12"/>
      <c r="E3" s="12"/>
      <c r="F3" s="13"/>
      <c r="H3" t="s">
        <v>26</v>
      </c>
      <c r="I3" s="14">
        <f>C10</f>
        <v>28726.25</v>
      </c>
      <c r="K3" t="s">
        <v>38</v>
      </c>
      <c r="L3" s="22">
        <v>0.125</v>
      </c>
    </row>
    <row r="4" spans="1:12" ht="26.75" customHeight="1" x14ac:dyDescent="0.45">
      <c r="A4" s="7" t="s">
        <v>20</v>
      </c>
      <c r="B4" s="16"/>
      <c r="C4" s="12"/>
      <c r="D4" s="12"/>
      <c r="E4" s="12"/>
      <c r="F4" s="13"/>
      <c r="H4" t="s">
        <v>27</v>
      </c>
      <c r="I4" s="14">
        <f>I2+I3</f>
        <v>457476.25</v>
      </c>
      <c r="K4" t="s">
        <v>39</v>
      </c>
      <c r="L4" s="22">
        <v>0.02</v>
      </c>
    </row>
    <row r="5" spans="1:12" ht="26.75" customHeight="1" x14ac:dyDescent="0.45">
      <c r="A5" s="7" t="s">
        <v>21</v>
      </c>
      <c r="B5" s="16"/>
      <c r="C5" s="12"/>
      <c r="D5" s="12"/>
      <c r="E5" s="12"/>
      <c r="F5" s="13"/>
      <c r="H5" t="s">
        <v>28</v>
      </c>
      <c r="I5" s="14">
        <f>D11</f>
        <v>155050</v>
      </c>
      <c r="K5" t="s">
        <v>40</v>
      </c>
      <c r="L5" s="22">
        <v>0.08</v>
      </c>
    </row>
    <row r="6" spans="1:12" ht="26.75" customHeight="1" x14ac:dyDescent="0.45">
      <c r="A6" s="7" t="s">
        <v>7</v>
      </c>
      <c r="B6" s="16"/>
      <c r="C6" s="12"/>
      <c r="D6" s="12"/>
      <c r="E6" s="12"/>
      <c r="F6" s="13"/>
      <c r="H6" t="s">
        <v>29</v>
      </c>
      <c r="I6" s="14">
        <f>D10</f>
        <v>243893.65</v>
      </c>
      <c r="K6" t="s">
        <v>41</v>
      </c>
      <c r="L6" s="22">
        <v>0.05</v>
      </c>
    </row>
    <row r="7" spans="1:12" ht="26.75" customHeight="1" x14ac:dyDescent="0.45">
      <c r="A7" s="7" t="s">
        <v>24</v>
      </c>
      <c r="B7" s="16"/>
      <c r="C7" s="12"/>
      <c r="D7" s="12"/>
      <c r="E7" s="12"/>
      <c r="F7" s="13"/>
      <c r="H7" t="s">
        <v>35</v>
      </c>
      <c r="I7" s="14">
        <v>12120</v>
      </c>
      <c r="K7" t="s">
        <v>48</v>
      </c>
      <c r="L7" s="22">
        <v>0.19</v>
      </c>
    </row>
    <row r="8" spans="1:12" ht="26.75" customHeight="1" x14ac:dyDescent="0.45">
      <c r="A8" s="7" t="s">
        <v>22</v>
      </c>
      <c r="B8" s="16"/>
      <c r="C8" s="12"/>
      <c r="D8" s="12"/>
      <c r="E8" s="12"/>
      <c r="F8" s="13"/>
      <c r="H8" t="s">
        <v>30</v>
      </c>
      <c r="I8" s="14">
        <f>I5+I6+I7</f>
        <v>411063.65</v>
      </c>
      <c r="L8" s="22"/>
    </row>
    <row r="9" spans="1:12" ht="26.75" customHeight="1" x14ac:dyDescent="0.45">
      <c r="A9" s="7" t="s">
        <v>23</v>
      </c>
      <c r="B9" s="16"/>
      <c r="C9" s="12"/>
      <c r="D9" s="12"/>
      <c r="E9" s="12"/>
      <c r="F9" s="13"/>
      <c r="H9" t="s">
        <v>31</v>
      </c>
      <c r="I9" s="14">
        <f>I4+I8</f>
        <v>868539.9</v>
      </c>
    </row>
    <row r="10" spans="1:12" ht="26.75" customHeight="1" x14ac:dyDescent="0.45">
      <c r="A10" s="8" t="s">
        <v>0</v>
      </c>
      <c r="B10" s="16">
        <f>SUM(B3:B9)</f>
        <v>0</v>
      </c>
      <c r="C10" s="14">
        <f>C11*C12</f>
        <v>28726.25</v>
      </c>
      <c r="D10" s="14">
        <f>D11*D12</f>
        <v>243893.65</v>
      </c>
      <c r="E10" s="14">
        <f t="shared" ref="E10:F10" si="0">E11*E12</f>
        <v>23360.249150400003</v>
      </c>
      <c r="F10" s="14">
        <f t="shared" si="0"/>
        <v>8341.4571995999995</v>
      </c>
      <c r="H10" t="s">
        <v>32</v>
      </c>
      <c r="I10" s="14">
        <f>E11</f>
        <v>142440.5436</v>
      </c>
    </row>
    <row r="11" spans="1:12" ht="26.75" customHeight="1" x14ac:dyDescent="0.45">
      <c r="A11" s="17" t="s">
        <v>17</v>
      </c>
      <c r="C11" s="14">
        <v>428750</v>
      </c>
      <c r="D11" s="14">
        <v>155050</v>
      </c>
      <c r="E11" s="14">
        <f>E12*I9</f>
        <v>142440.5436</v>
      </c>
      <c r="F11" s="14">
        <f>F12*I9</f>
        <v>85116.910199999998</v>
      </c>
      <c r="H11" t="s">
        <v>33</v>
      </c>
      <c r="I11" s="14">
        <f>F11</f>
        <v>85116.910199999998</v>
      </c>
    </row>
    <row r="12" spans="1:12" ht="26.75" customHeight="1" thickBot="1" x14ac:dyDescent="0.5">
      <c r="A12" s="9" t="s">
        <v>18</v>
      </c>
      <c r="B12" s="10"/>
      <c r="C12" s="21">
        <v>6.7000000000000004E-2</v>
      </c>
      <c r="D12" s="21">
        <v>1.573</v>
      </c>
      <c r="E12" s="21">
        <v>0.16400000000000001</v>
      </c>
      <c r="F12" s="21">
        <v>9.8000000000000004E-2</v>
      </c>
      <c r="H12" t="s">
        <v>36</v>
      </c>
      <c r="I12" s="14">
        <v>3220</v>
      </c>
    </row>
    <row r="13" spans="1:12" ht="26.75" customHeight="1" x14ac:dyDescent="0.45">
      <c r="H13" t="s">
        <v>34</v>
      </c>
      <c r="I13" s="14">
        <f>I9+I10+I11+I12</f>
        <v>1099317.3537999999</v>
      </c>
    </row>
    <row r="14" spans="1:12" ht="26.75" customHeight="1" x14ac:dyDescent="0.45">
      <c r="H14" t="s">
        <v>37</v>
      </c>
      <c r="I14" s="14">
        <f>I13*L3</f>
        <v>137414.66922499999</v>
      </c>
    </row>
    <row r="15" spans="1:12" ht="26.75" customHeight="1" x14ac:dyDescent="0.45">
      <c r="H15" t="s">
        <v>42</v>
      </c>
      <c r="I15" s="14">
        <f>I14+I13</f>
        <v>1236732.023025</v>
      </c>
    </row>
    <row r="16" spans="1:12" ht="26.75" customHeight="1" x14ac:dyDescent="0.45">
      <c r="H16" t="s">
        <v>43</v>
      </c>
      <c r="I16" s="14">
        <f>I15/90%*L4</f>
        <v>27482.933845000003</v>
      </c>
    </row>
    <row r="17" spans="8:9" ht="26.75" customHeight="1" x14ac:dyDescent="0.45">
      <c r="H17" t="s">
        <v>44</v>
      </c>
      <c r="I17" s="14">
        <f>I15/90%*L5</f>
        <v>109931.73538000001</v>
      </c>
    </row>
    <row r="18" spans="8:9" ht="26.75" customHeight="1" x14ac:dyDescent="0.45">
      <c r="H18" t="s">
        <v>45</v>
      </c>
      <c r="I18" s="14">
        <f>I15+I16+I17</f>
        <v>1374146.6922500001</v>
      </c>
    </row>
    <row r="19" spans="8:9" ht="26.75" customHeight="1" x14ac:dyDescent="0.45">
      <c r="H19" t="s">
        <v>41</v>
      </c>
      <c r="I19" s="14">
        <f>I18/95%*L6</f>
        <v>72323.510118421065</v>
      </c>
    </row>
    <row r="20" spans="8:9" ht="26.75" customHeight="1" x14ac:dyDescent="0.45">
      <c r="H20" t="s">
        <v>46</v>
      </c>
      <c r="I20" s="14">
        <f>I18+I19</f>
        <v>1446470.2023684212</v>
      </c>
    </row>
    <row r="21" spans="8:9" ht="26.75" customHeight="1" x14ac:dyDescent="0.45">
      <c r="H21" t="s">
        <v>47</v>
      </c>
      <c r="I21" s="14">
        <f>I20*L7</f>
        <v>274829.33845000004</v>
      </c>
    </row>
    <row r="22" spans="8:9" ht="26.75" customHeight="1" x14ac:dyDescent="0.45">
      <c r="H22" t="s">
        <v>46</v>
      </c>
      <c r="I22" s="14">
        <f>I20+I21</f>
        <v>1721299.5408184212</v>
      </c>
    </row>
    <row r="23" spans="8:9" ht="26.75" customHeight="1" x14ac:dyDescent="0.45">
      <c r="H23" t="s">
        <v>50</v>
      </c>
      <c r="I23" s="14">
        <f>I22/4000</f>
        <v>430.32488520460527</v>
      </c>
    </row>
    <row r="24" spans="8:9" ht="26.75" customHeight="1" x14ac:dyDescent="0.45">
      <c r="H24" t="s">
        <v>49</v>
      </c>
      <c r="I24" s="14">
        <f>I20/4000</f>
        <v>361.61755059210532</v>
      </c>
    </row>
  </sheetData>
  <mergeCells count="1">
    <mergeCell ref="C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88B8-311B-43B1-93F2-8AA8DD0B5B63}">
  <dimension ref="A1:L24"/>
  <sheetViews>
    <sheetView topLeftCell="A13" workbookViewId="0">
      <selection activeCell="I19" sqref="I19"/>
    </sheetView>
  </sheetViews>
  <sheetFormatPr defaultRowHeight="26.75" customHeight="1" x14ac:dyDescent="0.45"/>
  <cols>
    <col min="1" max="1" width="27.9296875" bestFit="1" customWidth="1"/>
    <col min="2" max="2" width="10.1328125" bestFit="1" customWidth="1"/>
    <col min="3" max="5" width="12.33203125" bestFit="1" customWidth="1"/>
    <col min="6" max="6" width="11.73046875" bestFit="1" customWidth="1"/>
    <col min="7" max="7" width="18.53125" bestFit="1" customWidth="1"/>
    <col min="8" max="8" width="12.1328125" bestFit="1" customWidth="1"/>
    <col min="9" max="9" width="17.06640625" customWidth="1"/>
  </cols>
  <sheetData>
    <row r="1" spans="1:12" ht="26.75" customHeight="1" x14ac:dyDescent="0.45">
      <c r="A1" s="1"/>
      <c r="B1" s="2"/>
      <c r="C1" s="19" t="s">
        <v>15</v>
      </c>
      <c r="D1" s="19"/>
      <c r="E1" s="19"/>
      <c r="F1" s="20"/>
      <c r="G1" t="s">
        <v>16</v>
      </c>
    </row>
    <row r="2" spans="1:12" ht="26.75" customHeight="1" x14ac:dyDescent="0.45">
      <c r="A2" s="3" t="s">
        <v>1</v>
      </c>
      <c r="B2" s="4" t="s">
        <v>14</v>
      </c>
      <c r="C2" s="5" t="s">
        <v>2</v>
      </c>
      <c r="D2" s="5" t="s">
        <v>3</v>
      </c>
      <c r="E2" s="5" t="s">
        <v>4</v>
      </c>
      <c r="F2" s="6" t="s">
        <v>5</v>
      </c>
      <c r="H2" t="s">
        <v>25</v>
      </c>
      <c r="I2" s="14">
        <f>C11</f>
        <v>8420</v>
      </c>
    </row>
    <row r="3" spans="1:12" ht="26.75" customHeight="1" x14ac:dyDescent="0.45">
      <c r="A3" s="7" t="s">
        <v>19</v>
      </c>
      <c r="B3" s="16"/>
      <c r="C3" s="12"/>
      <c r="D3" s="12"/>
      <c r="E3" s="12"/>
      <c r="F3" s="13"/>
      <c r="H3" t="s">
        <v>26</v>
      </c>
      <c r="I3" s="14">
        <f>C10</f>
        <v>884.1</v>
      </c>
      <c r="K3" t="s">
        <v>38</v>
      </c>
      <c r="L3" s="22">
        <v>0.12</v>
      </c>
    </row>
    <row r="4" spans="1:12" ht="26.75" customHeight="1" x14ac:dyDescent="0.45">
      <c r="A4" s="7" t="s">
        <v>20</v>
      </c>
      <c r="B4" s="16"/>
      <c r="C4" s="12"/>
      <c r="D4" s="12"/>
      <c r="E4" s="12"/>
      <c r="F4" s="13"/>
      <c r="H4" t="s">
        <v>27</v>
      </c>
      <c r="I4" s="14">
        <f>I2+I3</f>
        <v>9304.1</v>
      </c>
      <c r="K4" t="s">
        <v>39</v>
      </c>
      <c r="L4" s="22">
        <v>0.02</v>
      </c>
    </row>
    <row r="5" spans="1:12" ht="26.75" customHeight="1" x14ac:dyDescent="0.45">
      <c r="A5" s="7" t="s">
        <v>21</v>
      </c>
      <c r="B5" s="16"/>
      <c r="C5" s="12"/>
      <c r="D5" s="12"/>
      <c r="E5" s="12"/>
      <c r="F5" s="13"/>
      <c r="H5" t="s">
        <v>28</v>
      </c>
      <c r="I5" s="14">
        <f>D11</f>
        <v>3720</v>
      </c>
      <c r="K5" t="s">
        <v>40</v>
      </c>
      <c r="L5" s="22">
        <v>0</v>
      </c>
    </row>
    <row r="6" spans="1:12" ht="26.75" customHeight="1" x14ac:dyDescent="0.45">
      <c r="A6" s="7" t="s">
        <v>7</v>
      </c>
      <c r="B6" s="16"/>
      <c r="C6" s="12"/>
      <c r="D6" s="12"/>
      <c r="E6" s="12"/>
      <c r="F6" s="13"/>
      <c r="H6" t="s">
        <v>29</v>
      </c>
      <c r="I6" s="14">
        <f>D10</f>
        <v>5394</v>
      </c>
      <c r="K6" t="s">
        <v>41</v>
      </c>
      <c r="L6" s="22">
        <v>0.15</v>
      </c>
    </row>
    <row r="7" spans="1:12" ht="26.75" customHeight="1" x14ac:dyDescent="0.45">
      <c r="A7" s="7" t="s">
        <v>24</v>
      </c>
      <c r="B7" s="16"/>
      <c r="C7" s="12"/>
      <c r="D7" s="12"/>
      <c r="E7" s="12"/>
      <c r="F7" s="13"/>
      <c r="H7" t="s">
        <v>35</v>
      </c>
      <c r="I7" s="14">
        <v>890</v>
      </c>
      <c r="K7" t="s">
        <v>48</v>
      </c>
      <c r="L7" s="22">
        <v>0.19</v>
      </c>
    </row>
    <row r="8" spans="1:12" ht="26.75" customHeight="1" x14ac:dyDescent="0.45">
      <c r="A8" s="7" t="s">
        <v>22</v>
      </c>
      <c r="B8" s="16"/>
      <c r="C8" s="12"/>
      <c r="D8" s="12"/>
      <c r="E8" s="12"/>
      <c r="F8" s="13"/>
      <c r="H8" t="s">
        <v>30</v>
      </c>
      <c r="I8" s="14">
        <f>I5+I6+I7</f>
        <v>10004</v>
      </c>
      <c r="L8" s="22"/>
    </row>
    <row r="9" spans="1:12" ht="26.75" customHeight="1" x14ac:dyDescent="0.45">
      <c r="A9" s="7" t="s">
        <v>23</v>
      </c>
      <c r="B9" s="16"/>
      <c r="C9" s="12"/>
      <c r="D9" s="12"/>
      <c r="E9" s="12"/>
      <c r="F9" s="13"/>
      <c r="H9" t="s">
        <v>31</v>
      </c>
      <c r="I9" s="14">
        <f>I4+I8</f>
        <v>19308.099999999999</v>
      </c>
    </row>
    <row r="10" spans="1:12" ht="26.75" customHeight="1" x14ac:dyDescent="0.45">
      <c r="A10" s="8" t="s">
        <v>0</v>
      </c>
      <c r="B10" s="16">
        <f>SUM(B3:B9)</f>
        <v>0</v>
      </c>
      <c r="C10" s="14">
        <f>C11*C12</f>
        <v>884.1</v>
      </c>
      <c r="D10" s="14">
        <f>D11*D12</f>
        <v>5394</v>
      </c>
      <c r="E10" s="14">
        <f t="shared" ref="E10:F10" si="0">E11*E12</f>
        <v>362.39372889999999</v>
      </c>
      <c r="F10" s="14">
        <f t="shared" si="0"/>
        <v>362.39372889999999</v>
      </c>
      <c r="H10" t="s">
        <v>32</v>
      </c>
      <c r="I10" s="14">
        <f>E11</f>
        <v>2645.2096999999999</v>
      </c>
    </row>
    <row r="11" spans="1:12" ht="26.75" customHeight="1" x14ac:dyDescent="0.45">
      <c r="A11" s="17" t="s">
        <v>17</v>
      </c>
      <c r="C11" s="14">
        <v>8420</v>
      </c>
      <c r="D11" s="14">
        <v>3720</v>
      </c>
      <c r="E11" s="14">
        <f>E12*I9</f>
        <v>2645.2096999999999</v>
      </c>
      <c r="F11" s="14">
        <f>F12*I9</f>
        <v>2645.2096999999999</v>
      </c>
      <c r="H11" t="s">
        <v>33</v>
      </c>
      <c r="I11" s="14">
        <f>F11*0</f>
        <v>0</v>
      </c>
    </row>
    <row r="12" spans="1:12" ht="26.75" customHeight="1" thickBot="1" x14ac:dyDescent="0.5">
      <c r="A12" s="9" t="s">
        <v>18</v>
      </c>
      <c r="B12" s="10"/>
      <c r="C12" s="21">
        <v>0.105</v>
      </c>
      <c r="D12" s="21">
        <v>1.45</v>
      </c>
      <c r="E12" s="21">
        <v>0.13700000000000001</v>
      </c>
      <c r="F12" s="21">
        <v>0.13700000000000001</v>
      </c>
      <c r="H12" t="s">
        <v>36</v>
      </c>
      <c r="I12" s="14">
        <v>0</v>
      </c>
    </row>
    <row r="13" spans="1:12" ht="26.75" customHeight="1" x14ac:dyDescent="0.45">
      <c r="H13" t="s">
        <v>34</v>
      </c>
      <c r="I13" s="14">
        <f>I9+I10+I11+I12</f>
        <v>21953.309699999998</v>
      </c>
    </row>
    <row r="14" spans="1:12" ht="26.75" customHeight="1" x14ac:dyDescent="0.45">
      <c r="H14" t="s">
        <v>37</v>
      </c>
      <c r="I14" s="14">
        <f>I13*L3</f>
        <v>2634.3971639999995</v>
      </c>
    </row>
    <row r="15" spans="1:12" ht="26.75" customHeight="1" x14ac:dyDescent="0.45">
      <c r="H15" t="s">
        <v>42</v>
      </c>
      <c r="I15" s="14">
        <f>I14+I13</f>
        <v>24587.706863999996</v>
      </c>
    </row>
    <row r="16" spans="1:12" ht="26.75" customHeight="1" x14ac:dyDescent="0.45">
      <c r="H16" t="s">
        <v>43</v>
      </c>
      <c r="I16" s="14">
        <f>I15/98%*L4</f>
        <v>501.78993599999995</v>
      </c>
    </row>
    <row r="17" spans="8:9" ht="26.75" customHeight="1" x14ac:dyDescent="0.45">
      <c r="H17" t="s">
        <v>44</v>
      </c>
      <c r="I17" s="14">
        <f>I15/90%*L5</f>
        <v>0</v>
      </c>
    </row>
    <row r="18" spans="8:9" ht="26.75" customHeight="1" x14ac:dyDescent="0.45">
      <c r="H18" t="s">
        <v>45</v>
      </c>
      <c r="I18" s="14">
        <f>I15+I16+I17</f>
        <v>25089.496799999997</v>
      </c>
    </row>
    <row r="19" spans="8:9" ht="26.75" customHeight="1" x14ac:dyDescent="0.45">
      <c r="H19" t="s">
        <v>41</v>
      </c>
      <c r="I19" s="14">
        <f>I18/85%*L6</f>
        <v>4427.5582588235293</v>
      </c>
    </row>
    <row r="20" spans="8:9" ht="26.75" customHeight="1" x14ac:dyDescent="0.45">
      <c r="H20" t="s">
        <v>51</v>
      </c>
      <c r="I20" s="14">
        <f>I18+I19</f>
        <v>29517.055058823527</v>
      </c>
    </row>
    <row r="21" spans="8:9" ht="26.75" customHeight="1" x14ac:dyDescent="0.45">
      <c r="H21" t="s">
        <v>47</v>
      </c>
      <c r="I21" s="14">
        <f>I20*L7</f>
        <v>5608.2404611764705</v>
      </c>
    </row>
    <row r="22" spans="8:9" ht="26.75" customHeight="1" x14ac:dyDescent="0.45">
      <c r="H22" t="s">
        <v>52</v>
      </c>
      <c r="I22" s="14">
        <f>I20+I21</f>
        <v>35125.29552</v>
      </c>
    </row>
    <row r="23" spans="8:9" ht="26.75" customHeight="1" x14ac:dyDescent="0.45">
      <c r="H23" t="s">
        <v>50</v>
      </c>
      <c r="I23" s="14">
        <f>I22/4000</f>
        <v>8.7813238800000004</v>
      </c>
    </row>
    <row r="24" spans="8:9" ht="26.75" customHeight="1" x14ac:dyDescent="0.45">
      <c r="H24" t="s">
        <v>53</v>
      </c>
      <c r="I24" s="14">
        <f>I20/4000</f>
        <v>7.3792637647058816</v>
      </c>
    </row>
  </sheetData>
  <mergeCells count="1">
    <mergeCell ref="C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6470-78DA-4EA2-9542-E5304BDBFDD3}">
  <dimension ref="A1:L24"/>
  <sheetViews>
    <sheetView tabSelected="1" topLeftCell="A10" workbookViewId="0">
      <selection activeCell="G18" sqref="G18"/>
    </sheetView>
  </sheetViews>
  <sheetFormatPr defaultRowHeight="26.75" customHeight="1" x14ac:dyDescent="0.45"/>
  <cols>
    <col min="1" max="1" width="27.9296875" bestFit="1" customWidth="1"/>
    <col min="2" max="2" width="10.1328125" bestFit="1" customWidth="1"/>
    <col min="3" max="5" width="12.33203125" bestFit="1" customWidth="1"/>
    <col min="6" max="6" width="11.73046875" bestFit="1" customWidth="1"/>
    <col min="7" max="7" width="18.53125" bestFit="1" customWidth="1"/>
    <col min="8" max="8" width="12.1328125" bestFit="1" customWidth="1"/>
    <col min="9" max="9" width="17.06640625" customWidth="1"/>
  </cols>
  <sheetData>
    <row r="1" spans="1:12" ht="26.75" customHeight="1" x14ac:dyDescent="0.45">
      <c r="A1" s="1"/>
      <c r="B1" s="2"/>
      <c r="C1" s="19" t="s">
        <v>15</v>
      </c>
      <c r="D1" s="19"/>
      <c r="E1" s="19"/>
      <c r="F1" s="20"/>
      <c r="G1" t="s">
        <v>16</v>
      </c>
    </row>
    <row r="2" spans="1:12" ht="26.75" customHeight="1" x14ac:dyDescent="0.45">
      <c r="A2" s="3" t="s">
        <v>1</v>
      </c>
      <c r="B2" s="4" t="s">
        <v>14</v>
      </c>
      <c r="C2" s="5" t="s">
        <v>2</v>
      </c>
      <c r="D2" s="5" t="s">
        <v>3</v>
      </c>
      <c r="E2" s="5" t="s">
        <v>4</v>
      </c>
      <c r="F2" s="6" t="s">
        <v>5</v>
      </c>
      <c r="H2" t="s">
        <v>25</v>
      </c>
      <c r="I2" s="14">
        <f>C11</f>
        <v>275.8</v>
      </c>
    </row>
    <row r="3" spans="1:12" ht="26.75" customHeight="1" x14ac:dyDescent="0.45">
      <c r="A3" s="7" t="s">
        <v>19</v>
      </c>
      <c r="B3" s="16"/>
      <c r="C3" s="12"/>
      <c r="D3" s="12"/>
      <c r="E3" s="12"/>
      <c r="F3" s="13"/>
      <c r="H3" t="s">
        <v>26</v>
      </c>
      <c r="I3" s="14">
        <f>C10</f>
        <v>96.53</v>
      </c>
      <c r="K3" t="s">
        <v>38</v>
      </c>
      <c r="L3" s="22">
        <v>0.25</v>
      </c>
    </row>
    <row r="4" spans="1:12" ht="26.75" customHeight="1" x14ac:dyDescent="0.45">
      <c r="A4" s="7" t="s">
        <v>20</v>
      </c>
      <c r="B4" s="16"/>
      <c r="C4" s="12"/>
      <c r="D4" s="12"/>
      <c r="E4" s="12"/>
      <c r="F4" s="13"/>
      <c r="H4" t="s">
        <v>27</v>
      </c>
      <c r="I4" s="14">
        <f>I2+I3</f>
        <v>372.33000000000004</v>
      </c>
      <c r="K4" t="s">
        <v>39</v>
      </c>
      <c r="L4" s="22">
        <v>0.02</v>
      </c>
    </row>
    <row r="5" spans="1:12" ht="26.75" customHeight="1" x14ac:dyDescent="0.45">
      <c r="A5" s="7" t="s">
        <v>21</v>
      </c>
      <c r="B5" s="16"/>
      <c r="C5" s="12"/>
      <c r="D5" s="12"/>
      <c r="E5" s="12"/>
      <c r="F5" s="13"/>
      <c r="H5" t="s">
        <v>28</v>
      </c>
      <c r="I5" s="14">
        <f>D11</f>
        <v>330.4</v>
      </c>
      <c r="K5" t="s">
        <v>40</v>
      </c>
      <c r="L5" s="22">
        <v>0</v>
      </c>
    </row>
    <row r="6" spans="1:12" ht="26.75" customHeight="1" x14ac:dyDescent="0.45">
      <c r="A6" s="7" t="s">
        <v>7</v>
      </c>
      <c r="B6" s="16"/>
      <c r="C6" s="12"/>
      <c r="D6" s="12"/>
      <c r="E6" s="12"/>
      <c r="F6" s="13"/>
      <c r="H6" t="s">
        <v>29</v>
      </c>
      <c r="I6" s="14">
        <f>D10</f>
        <v>280.83999999999997</v>
      </c>
      <c r="K6" t="s">
        <v>41</v>
      </c>
      <c r="L6" s="22">
        <v>0.1</v>
      </c>
    </row>
    <row r="7" spans="1:12" ht="26.75" customHeight="1" x14ac:dyDescent="0.45">
      <c r="A7" s="7" t="s">
        <v>24</v>
      </c>
      <c r="B7" s="16"/>
      <c r="C7" s="12"/>
      <c r="D7" s="12"/>
      <c r="E7" s="12"/>
      <c r="F7" s="13"/>
      <c r="H7" t="s">
        <v>35</v>
      </c>
      <c r="I7" s="14">
        <v>0</v>
      </c>
      <c r="K7" t="s">
        <v>48</v>
      </c>
      <c r="L7" s="22">
        <v>0.19</v>
      </c>
    </row>
    <row r="8" spans="1:12" ht="26.75" customHeight="1" x14ac:dyDescent="0.45">
      <c r="A8" s="7" t="s">
        <v>22</v>
      </c>
      <c r="B8" s="16"/>
      <c r="C8" s="12"/>
      <c r="D8" s="12"/>
      <c r="E8" s="12"/>
      <c r="F8" s="13"/>
      <c r="H8" t="s">
        <v>30</v>
      </c>
      <c r="I8" s="14">
        <f>I5+I6+I7</f>
        <v>611.24</v>
      </c>
      <c r="L8" s="22"/>
    </row>
    <row r="9" spans="1:12" ht="26.75" customHeight="1" x14ac:dyDescent="0.45">
      <c r="A9" s="7" t="s">
        <v>23</v>
      </c>
      <c r="B9" s="16"/>
      <c r="C9" s="12"/>
      <c r="D9" s="12"/>
      <c r="E9" s="12"/>
      <c r="F9" s="13"/>
      <c r="H9" t="s">
        <v>31</v>
      </c>
      <c r="I9" s="14">
        <f>I4+I8</f>
        <v>983.57</v>
      </c>
    </row>
    <row r="10" spans="1:12" ht="26.75" customHeight="1" x14ac:dyDescent="0.45">
      <c r="A10" s="8" t="s">
        <v>0</v>
      </c>
      <c r="B10" s="16">
        <f>SUM(B3:B9)</f>
        <v>0</v>
      </c>
      <c r="C10" s="14">
        <f>C11*C12</f>
        <v>96.53</v>
      </c>
      <c r="D10" s="14">
        <f>D11*D12</f>
        <v>280.83999999999997</v>
      </c>
      <c r="E10" s="14">
        <f t="shared" ref="E10:F10" si="0">E11*E12</f>
        <v>39.342800000000011</v>
      </c>
      <c r="F10" s="14">
        <f t="shared" si="0"/>
        <v>31.867667999999998</v>
      </c>
      <c r="H10" t="s">
        <v>32</v>
      </c>
      <c r="I10" s="14">
        <f>E11</f>
        <v>196.71400000000003</v>
      </c>
    </row>
    <row r="11" spans="1:12" ht="26.75" customHeight="1" x14ac:dyDescent="0.45">
      <c r="A11" s="17" t="s">
        <v>17</v>
      </c>
      <c r="C11" s="14">
        <v>275.8</v>
      </c>
      <c r="D11" s="14">
        <v>330.4</v>
      </c>
      <c r="E11" s="14">
        <f>E12*I9</f>
        <v>196.71400000000003</v>
      </c>
      <c r="F11" s="14">
        <f>F12*I9</f>
        <v>177.04259999999999</v>
      </c>
      <c r="H11" t="s">
        <v>33</v>
      </c>
      <c r="I11" s="14">
        <f>F11</f>
        <v>177.04259999999999</v>
      </c>
    </row>
    <row r="12" spans="1:12" ht="26.75" customHeight="1" thickBot="1" x14ac:dyDescent="0.5">
      <c r="A12" s="9" t="s">
        <v>18</v>
      </c>
      <c r="B12" s="10"/>
      <c r="C12" s="21">
        <v>0.35</v>
      </c>
      <c r="D12" s="21">
        <v>0.85</v>
      </c>
      <c r="E12" s="21">
        <v>0.2</v>
      </c>
      <c r="F12" s="21">
        <v>0.18</v>
      </c>
      <c r="H12" t="s">
        <v>36</v>
      </c>
      <c r="I12" s="14">
        <v>0</v>
      </c>
    </row>
    <row r="13" spans="1:12" ht="26.75" customHeight="1" x14ac:dyDescent="0.45">
      <c r="H13" t="s">
        <v>34</v>
      </c>
      <c r="I13" s="14">
        <f>I9+I10+I11+I12</f>
        <v>1357.3266000000001</v>
      </c>
    </row>
    <row r="14" spans="1:12" ht="26.75" customHeight="1" x14ac:dyDescent="0.45">
      <c r="H14" t="s">
        <v>37</v>
      </c>
      <c r="I14" s="14">
        <f>I13*L3</f>
        <v>339.33165000000002</v>
      </c>
    </row>
    <row r="15" spans="1:12" ht="26.75" customHeight="1" x14ac:dyDescent="0.45">
      <c r="H15" t="s">
        <v>42</v>
      </c>
      <c r="I15" s="14">
        <f>I14+I13</f>
        <v>1696.6582500000002</v>
      </c>
    </row>
    <row r="16" spans="1:12" ht="26.75" customHeight="1" x14ac:dyDescent="0.45">
      <c r="H16" t="s">
        <v>43</v>
      </c>
      <c r="I16" s="14">
        <f>I15/98%*L4</f>
        <v>34.625678571428573</v>
      </c>
    </row>
    <row r="17" spans="8:9" ht="26.75" customHeight="1" x14ac:dyDescent="0.45">
      <c r="H17" t="s">
        <v>44</v>
      </c>
      <c r="I17" s="14">
        <f>I15/90%*L5</f>
        <v>0</v>
      </c>
    </row>
    <row r="18" spans="8:9" ht="26.75" customHeight="1" x14ac:dyDescent="0.45">
      <c r="H18" t="s">
        <v>45</v>
      </c>
      <c r="I18" s="14">
        <f>I15+I16+I17</f>
        <v>1731.2839285714288</v>
      </c>
    </row>
    <row r="19" spans="8:9" ht="26.75" customHeight="1" x14ac:dyDescent="0.45">
      <c r="H19" t="s">
        <v>41</v>
      </c>
      <c r="I19" s="14">
        <f>I18/90%*L6</f>
        <v>192.36488095238099</v>
      </c>
    </row>
    <row r="20" spans="8:9" ht="26.75" customHeight="1" x14ac:dyDescent="0.45">
      <c r="H20" t="s">
        <v>51</v>
      </c>
      <c r="I20" s="14">
        <f>I18+I19</f>
        <v>1923.6488095238096</v>
      </c>
    </row>
    <row r="21" spans="8:9" ht="26.75" customHeight="1" x14ac:dyDescent="0.45">
      <c r="H21" t="s">
        <v>47</v>
      </c>
      <c r="I21" s="14">
        <f>I20*L7</f>
        <v>365.49327380952383</v>
      </c>
    </row>
    <row r="22" spans="8:9" ht="26.75" customHeight="1" x14ac:dyDescent="0.45">
      <c r="H22" t="s">
        <v>52</v>
      </c>
      <c r="I22" s="14">
        <f>I20+I21</f>
        <v>2289.1420833333336</v>
      </c>
    </row>
    <row r="23" spans="8:9" ht="26.75" customHeight="1" x14ac:dyDescent="0.45">
      <c r="I23" s="14"/>
    </row>
    <row r="24" spans="8:9" ht="26.75" customHeight="1" x14ac:dyDescent="0.45">
      <c r="I24" s="14"/>
    </row>
  </sheetData>
  <mergeCells count="1"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Jannik Muy</cp:lastModifiedBy>
  <dcterms:created xsi:type="dcterms:W3CDTF">2025-05-15T12:01:41Z</dcterms:created>
  <dcterms:modified xsi:type="dcterms:W3CDTF">2025-05-22T13:14:46Z</dcterms:modified>
</cp:coreProperties>
</file>