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ob\Documents\RIS\predavanja\ponudba\"/>
    </mc:Choice>
  </mc:AlternateContent>
  <xr:revisionPtr revIDLastSave="0" documentId="8_{6941076F-0BED-4F4E-91C3-95E132D586F1}" xr6:coauthVersionLast="45" xr6:coauthVersionMax="45" xr10:uidLastSave="{00000000-0000-0000-0000-000000000000}"/>
  <bookViews>
    <workbookView xWindow="5070" yWindow="5070" windowWidth="28800" windowHeight="15435" firstSheet="1" activeTab="3" xr2:uid="{1F563FBD-50B4-4BA4-9584-08B842CB01F1}"/>
  </bookViews>
  <sheets>
    <sheet name="List1" sheetId="1" state="hidden" r:id="rId1"/>
    <sheet name="Obračun ur" sheetId="2" r:id="rId2"/>
    <sheet name="Obračun plač" sheetId="4" r:id="rId3"/>
    <sheet name="Končni obračun" sheetId="5" r:id="rId4"/>
    <sheet name="List3" sheetId="3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2" l="1"/>
  <c r="E13" i="2"/>
  <c r="C8" i="5" l="1"/>
  <c r="C9" i="5" s="1"/>
  <c r="F18" i="4"/>
  <c r="F19" i="4"/>
  <c r="F20" i="4"/>
  <c r="F21" i="4"/>
  <c r="F22" i="4"/>
  <c r="F23" i="4"/>
  <c r="F24" i="4"/>
  <c r="F25" i="4" s="1"/>
  <c r="C23" i="4"/>
  <c r="D14" i="4"/>
  <c r="E13" i="4"/>
  <c r="E12" i="4"/>
  <c r="E11" i="4"/>
  <c r="E10" i="4"/>
  <c r="E9" i="4"/>
  <c r="E8" i="4"/>
  <c r="E7" i="4"/>
  <c r="C76" i="2"/>
  <c r="E75" i="2"/>
  <c r="E74" i="2"/>
  <c r="C71" i="2"/>
  <c r="E70" i="2"/>
  <c r="E69" i="2"/>
  <c r="E68" i="2"/>
  <c r="E67" i="2"/>
  <c r="E66" i="2"/>
  <c r="E65" i="2"/>
  <c r="C61" i="2"/>
  <c r="E60" i="2"/>
  <c r="E59" i="2"/>
  <c r="E58" i="2"/>
  <c r="C54" i="2"/>
  <c r="E53" i="2"/>
  <c r="E52" i="2"/>
  <c r="E51" i="2"/>
  <c r="E44" i="2"/>
  <c r="C47" i="2"/>
  <c r="E46" i="2"/>
  <c r="E45" i="2"/>
  <c r="E43" i="2"/>
  <c r="E42" i="2"/>
  <c r="C38" i="2"/>
  <c r="E37" i="2"/>
  <c r="E36" i="2"/>
  <c r="E35" i="2"/>
  <c r="E34" i="2"/>
  <c r="E33" i="2"/>
  <c r="E32" i="2"/>
  <c r="E31" i="2"/>
  <c r="E30" i="2"/>
  <c r="E29" i="2"/>
  <c r="C26" i="2"/>
  <c r="E24" i="2"/>
  <c r="E25" i="2"/>
  <c r="E23" i="2"/>
  <c r="E22" i="2"/>
  <c r="E21" i="2"/>
  <c r="E20" i="2"/>
  <c r="E19" i="2"/>
  <c r="E18" i="2"/>
  <c r="E17" i="2"/>
  <c r="C13" i="2"/>
  <c r="E7" i="2"/>
  <c r="E8" i="2"/>
  <c r="E9" i="2"/>
  <c r="E10" i="2"/>
  <c r="E11" i="2"/>
  <c r="E12" i="2"/>
  <c r="E6" i="2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4" i="1"/>
  <c r="C13" i="5" l="1"/>
  <c r="C14" i="5" s="1"/>
  <c r="C20" i="5"/>
  <c r="C21" i="5" s="1"/>
  <c r="D9" i="5"/>
  <c r="C15" i="5"/>
  <c r="E14" i="4"/>
  <c r="E76" i="2"/>
  <c r="C88" i="2" s="1"/>
  <c r="E71" i="2"/>
  <c r="C87" i="2" s="1"/>
  <c r="E61" i="2"/>
  <c r="C86" i="2" s="1"/>
  <c r="E54" i="2"/>
  <c r="C85" i="2" s="1"/>
  <c r="E38" i="2"/>
  <c r="C83" i="2" s="1"/>
  <c r="E47" i="2"/>
  <c r="C84" i="2" s="1"/>
  <c r="E26" i="2"/>
  <c r="C82" i="2" s="1"/>
  <c r="C81" i="2"/>
  <c r="D15" i="5" l="1"/>
  <c r="C89" i="2"/>
  <c r="G71" i="2" s="1"/>
  <c r="G26" i="2" l="1"/>
  <c r="G38" i="2"/>
  <c r="G47" i="2"/>
  <c r="G54" i="2"/>
  <c r="G76" i="2"/>
  <c r="G61" i="2"/>
  <c r="J56" i="1"/>
  <c r="M42" i="1"/>
  <c r="M43" i="1"/>
  <c r="M44" i="1"/>
  <c r="M46" i="1"/>
  <c r="M47" i="1"/>
  <c r="M48" i="1"/>
  <c r="M49" i="1"/>
  <c r="M50" i="1"/>
  <c r="M51" i="1"/>
  <c r="M53" i="1"/>
  <c r="M54" i="1"/>
  <c r="K56" i="1"/>
  <c r="M38" i="1"/>
  <c r="M39" i="1"/>
  <c r="M40" i="1"/>
  <c r="O36" i="1"/>
  <c r="M32" i="1"/>
  <c r="M33" i="1"/>
  <c r="M34" i="1"/>
  <c r="M35" i="1"/>
  <c r="M36" i="1"/>
  <c r="M12" i="1"/>
  <c r="O30" i="1" s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5" i="1"/>
  <c r="M6" i="1"/>
  <c r="M7" i="1"/>
  <c r="O10" i="1" s="1"/>
  <c r="M8" i="1"/>
  <c r="M9" i="1"/>
  <c r="M10" i="1"/>
  <c r="M4" i="1"/>
  <c r="O40" i="1" l="1"/>
</calcChain>
</file>

<file path=xl/sharedStrings.xml><?xml version="1.0" encoding="utf-8"?>
<sst xmlns="http://schemas.openxmlformats.org/spreadsheetml/2006/main" count="270" uniqueCount="203">
  <si>
    <t>1. SPECIFIKACIJA ZAHTEV</t>
  </si>
  <si>
    <t>analiza problemske domene</t>
  </si>
  <si>
    <t>sestanek z kupcem</t>
  </si>
  <si>
    <t>opredelitev zahtev</t>
  </si>
  <si>
    <t>intervjuji</t>
  </si>
  <si>
    <t>anketa</t>
  </si>
  <si>
    <t>analiza zahtev</t>
  </si>
  <si>
    <t>potrditev zahtev s strani kupca</t>
  </si>
  <si>
    <t>2. ANALIZA</t>
  </si>
  <si>
    <t>izdelava modela sistema</t>
  </si>
  <si>
    <t>načrt programskih modulov</t>
  </si>
  <si>
    <t>funkcionalna razgradnja</t>
  </si>
  <si>
    <t>podatkovni tokovi</t>
  </si>
  <si>
    <t>procesni diagram</t>
  </si>
  <si>
    <t>izdelava prototipa vmesnikov</t>
  </si>
  <si>
    <t>predloga sistema</t>
  </si>
  <si>
    <t>predstavitev modela sistema</t>
  </si>
  <si>
    <t>predstavitev prototipa vmesnika</t>
  </si>
  <si>
    <t>predstavitev predloge sistema</t>
  </si>
  <si>
    <t>potrditev analize s strani kupca</t>
  </si>
  <si>
    <t>3. NAČRTOVANJE</t>
  </si>
  <si>
    <t>načrt podatkovne baze</t>
  </si>
  <si>
    <t>načrt dokumentacije</t>
  </si>
  <si>
    <t>načrt in strategija testiranja</t>
  </si>
  <si>
    <t>načrt namestitve</t>
  </si>
  <si>
    <t>načrt uvedbe</t>
  </si>
  <si>
    <t>predstavitev programskih modulov</t>
  </si>
  <si>
    <t>predstavitev načrta namestitve, uvedbe in testiranja</t>
  </si>
  <si>
    <t>4. IZVEDBA</t>
  </si>
  <si>
    <t>izdelava programskega dela sistema</t>
  </si>
  <si>
    <t>izvedba nakupa, nadgradnje in namestitve strojne opreme</t>
  </si>
  <si>
    <t>5. TESTIRANJE (testno okolje)</t>
  </si>
  <si>
    <t>priprava testnih podatkov</t>
  </si>
  <si>
    <t>testiranje v testnem okolju</t>
  </si>
  <si>
    <t>testiranje v razvojnem okolju</t>
  </si>
  <si>
    <t>poročanje o poteku izdelave sistema končnemu kupcu</t>
  </si>
  <si>
    <t>priprava strojne opreme na namestitev</t>
  </si>
  <si>
    <t>namestitev programske opreme</t>
  </si>
  <si>
    <t>6. NAMESTITEV &amp; TESTIRANJE</t>
  </si>
  <si>
    <t>testiranje namestitve</t>
  </si>
  <si>
    <t>7. UVEDBA &amp; TESTIRANJE (produkcijsko okolje)</t>
  </si>
  <si>
    <t>priprava testnih primerov</t>
  </si>
  <si>
    <t>testiranje v produkcijskem okolju</t>
  </si>
  <si>
    <t>uvedba sistema</t>
  </si>
  <si>
    <t>spremljanje sistema</t>
  </si>
  <si>
    <t>predaja končnega izdelka kupcu</t>
  </si>
  <si>
    <t>8. PODPORA</t>
  </si>
  <si>
    <t>podpora in reševanje težav s sistemom</t>
  </si>
  <si>
    <t>odprava pomankljivosti</t>
  </si>
  <si>
    <t>število ur/osebo</t>
  </si>
  <si>
    <t>število dni/osebo</t>
  </si>
  <si>
    <t>število oseb</t>
  </si>
  <si>
    <t>Program lojalnosti Maestro</t>
  </si>
  <si>
    <t>Obračun ur - INTERNO</t>
  </si>
  <si>
    <t>Specifikacija zahtev</t>
  </si>
  <si>
    <t>Število zaposlenih</t>
  </si>
  <si>
    <t>Skupaj ur</t>
  </si>
  <si>
    <t>Analiza problemske domene</t>
  </si>
  <si>
    <t>Opredelitev zahtev - splošno</t>
  </si>
  <si>
    <t>Opredelitev zahtev - intervjuji</t>
  </si>
  <si>
    <t>Opredelitev zahtev - anketa</t>
  </si>
  <si>
    <t>Analiza zahtev</t>
  </si>
  <si>
    <t>Potrditev zahtev s strani kupca</t>
  </si>
  <si>
    <t>Skupaj</t>
  </si>
  <si>
    <t>Analiza</t>
  </si>
  <si>
    <t>Izdelava modela sistema</t>
  </si>
  <si>
    <t>Izdelava modela  funkcionalne razgradnje in podatkovnih tokov</t>
  </si>
  <si>
    <t>Izdelava procesnega modela</t>
  </si>
  <si>
    <t>Izdelava prototipa vmesnikov</t>
  </si>
  <si>
    <t>Izdelava predloga sistema</t>
  </si>
  <si>
    <t>Predstavitev modela sistema</t>
  </si>
  <si>
    <t>Predstavitev prototipov vmesnika</t>
  </si>
  <si>
    <t>Predstavitev predloge sistema</t>
  </si>
  <si>
    <t>Potrditev analize s strani kupca</t>
  </si>
  <si>
    <t>Število ur/zaposleni</t>
  </si>
  <si>
    <t>Načrtovanje</t>
  </si>
  <si>
    <t>Načrt podatkovne baze</t>
  </si>
  <si>
    <t>Načrt programskih modulov</t>
  </si>
  <si>
    <t>Načrt dokumentacije</t>
  </si>
  <si>
    <t>Načrt in strategija testiranja</t>
  </si>
  <si>
    <t>Načrt namestitve</t>
  </si>
  <si>
    <t>Načrt uvedbe</t>
  </si>
  <si>
    <t>Predstavitev programskih modulov</t>
  </si>
  <si>
    <t>Predstavitev načrta namestitve, uvedbe in testiranja</t>
  </si>
  <si>
    <t>Potrditev načrta s strani kupca</t>
  </si>
  <si>
    <t>Izvedba</t>
  </si>
  <si>
    <t>Izdelava programskega dela sistema</t>
  </si>
  <si>
    <t>Priprava testnih podatkov</t>
  </si>
  <si>
    <t>Testiranje v razvojnem okolju</t>
  </si>
  <si>
    <t>Izvedba nakupa, nadgradnje in namestitve strojne opreme</t>
  </si>
  <si>
    <t>Poročanje o poteku izdelave sistema kupcu</t>
  </si>
  <si>
    <t>Testiranje (testno okolje)</t>
  </si>
  <si>
    <t>Testiranje v testnem okolju</t>
  </si>
  <si>
    <t>Odprava pomankljivosti</t>
  </si>
  <si>
    <t>Namestitev in testiranje</t>
  </si>
  <si>
    <t>Priprava strojne opreme na namestitev</t>
  </si>
  <si>
    <t>Namestitev programske opreme</t>
  </si>
  <si>
    <t>Zagon in test namestitve</t>
  </si>
  <si>
    <t>Uvedba in testiranje (produkcijsko okolje)</t>
  </si>
  <si>
    <t>Priprava testnih primerov</t>
  </si>
  <si>
    <t>Testiranje v produkcijskem okolju</t>
  </si>
  <si>
    <t>Uvedba sistema</t>
  </si>
  <si>
    <t>Spremljanje sistema</t>
  </si>
  <si>
    <t>Predaja končnega sistema kupcu</t>
  </si>
  <si>
    <t>Postavka</t>
  </si>
  <si>
    <t>Stolpec1</t>
  </si>
  <si>
    <t>1.</t>
  </si>
  <si>
    <t>1.1</t>
  </si>
  <si>
    <t>1.2</t>
  </si>
  <si>
    <t>1.3</t>
  </si>
  <si>
    <t>1.4</t>
  </si>
  <si>
    <t>1.5</t>
  </si>
  <si>
    <t>2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</si>
  <si>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</si>
  <si>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</si>
  <si>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</si>
  <si>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</si>
  <si>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</si>
  <si>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</si>
  <si>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</si>
  <si>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</si>
  <si>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</si>
  <si>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3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</si>
  <si>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</si>
  <si>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</si>
  <si>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</si>
  <si>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</si>
  <si>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</si>
  <si>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</si>
  <si>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</si>
  <si>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</si>
  <si>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</si>
  <si>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4</t>
  </si>
  <si>
    <t>4.1</t>
  </si>
  <si>
    <t>4.2</t>
  </si>
  <si>
    <t>4.3</t>
  </si>
  <si>
    <t>4.4</t>
  </si>
  <si>
    <t>4.5</t>
  </si>
  <si>
    <t>5</t>
  </si>
  <si>
    <t>5.1</t>
  </si>
  <si>
    <t>5.2</t>
  </si>
  <si>
    <t>5.3</t>
  </si>
  <si>
    <t>6</t>
  </si>
  <si>
    <t>6.1</t>
  </si>
  <si>
    <t>6.2</t>
  </si>
  <si>
    <t>6.3</t>
  </si>
  <si>
    <t>7</t>
  </si>
  <si>
    <t>7.1</t>
  </si>
  <si>
    <t>7.2</t>
  </si>
  <si>
    <t>7.3</t>
  </si>
  <si>
    <t>7.4</t>
  </si>
  <si>
    <t>7.5</t>
  </si>
  <si>
    <t>7.6</t>
  </si>
  <si>
    <t>8</t>
  </si>
  <si>
    <t>8.1</t>
  </si>
  <si>
    <t>8.2</t>
  </si>
  <si>
    <t>Podpora in reševanje težav s sistemom</t>
  </si>
  <si>
    <t>1</t>
  </si>
  <si>
    <t>Namestitev &amp; testiranje</t>
  </si>
  <si>
    <t>Uvedba &amp; testiranje (produkcijsko okolje)</t>
  </si>
  <si>
    <t>Podpora</t>
  </si>
  <si>
    <t>Osnovna (BRUTO BRUTO) plača</t>
  </si>
  <si>
    <t>Skupaj plača</t>
  </si>
  <si>
    <t>Projektni vodja</t>
  </si>
  <si>
    <t>Vodja razvoja</t>
  </si>
  <si>
    <t>Programer</t>
  </si>
  <si>
    <t>Programer - načrtovalec</t>
  </si>
  <si>
    <t>Programer - oblikovalec</t>
  </si>
  <si>
    <t>QA</t>
  </si>
  <si>
    <t>Režija &amp; administracija</t>
  </si>
  <si>
    <t>Obračun plač &amp; stroškov - INTERNO</t>
  </si>
  <si>
    <t>Skupaj masa plač</t>
  </si>
  <si>
    <t>Obračun plač</t>
  </si>
  <si>
    <t>Doba (v letih)</t>
  </si>
  <si>
    <t>Izobraževanje</t>
  </si>
  <si>
    <t>Skupaj strošek</t>
  </si>
  <si>
    <t>Oprema - programer</t>
  </si>
  <si>
    <t>Oprema - režija</t>
  </si>
  <si>
    <t>Stroški dela</t>
  </si>
  <si>
    <t>Stroški (elektrika, voda, ogrevanje na LETO)</t>
  </si>
  <si>
    <t>Drugi stroški (ocenjeno v LETU)</t>
  </si>
  <si>
    <t>Strošek</t>
  </si>
  <si>
    <t>Pisarniška oprema (skupaj)</t>
  </si>
  <si>
    <t>Skupaj stroški (LETO)</t>
  </si>
  <si>
    <t>Trajanje v tednih</t>
  </si>
  <si>
    <t>2+1</t>
  </si>
  <si>
    <t>4+1</t>
  </si>
  <si>
    <t>Končni obračun - INTERNO</t>
  </si>
  <si>
    <t>Letni strošek podjetja</t>
  </si>
  <si>
    <t>Skupaj strošek podjetja v času trajanja projekta</t>
  </si>
  <si>
    <t>Okvirno trajanje projekta (v tednih)</t>
  </si>
  <si>
    <t>Obračun končne cene projekta</t>
  </si>
  <si>
    <t>Strošek podjetja</t>
  </si>
  <si>
    <t>Možnost popusta</t>
  </si>
  <si>
    <t>Izklicna cena (brez DDV)</t>
  </si>
  <si>
    <t>10% marža (brez DDV)</t>
  </si>
  <si>
    <t>20% marža (brez DDV)</t>
  </si>
  <si>
    <t>Uskladitev zahtev s kupcem</t>
  </si>
  <si>
    <t>x</t>
  </si>
  <si>
    <t>Dnevni strošek</t>
  </si>
  <si>
    <t>Urni strošek</t>
  </si>
  <si>
    <t>8+2</t>
  </si>
  <si>
    <t>23+6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</si>
</sst>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43" formatCode="_-* #,##0.00_-;\-* #,##0.00_-;_-* &quot;-&quot;??_-;_-@_-"/>
  </numFmts>
  <fonts count="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79998168889431442"/>
        <bgColor theme="5" tint="0.79998168889431442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1" tint="0.34998626667073579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/>
      <bottom style="thin">
        <color theme="5" tint="0.39997558519241921"/>
      </bottom>
      <diagonal/>
    </border>
    <border>
      <left/>
      <right/>
      <top style="double">
        <color theme="5"/>
      </top>
      <bottom/>
      <diagonal/>
    </border>
    <border>
      <left/>
      <right/>
      <top/>
      <bottom style="thin">
        <color rgb="FFF4B08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1" fillId="2" borderId="0" applyNumberFormat="0" applyBorder="0" applyAlignment="0" applyProtection="0"/>
  </cellStyleXfs>
  <cellXfs count="31">
    <xf numFmtId="0" fontId="0" fillId="0" borderId="0" xfId="0"/>
    <xf numFmtId="0" fontId="0" fillId="4" borderId="4" xfId="0" applyFill="1" applyBorder="1"/>
    <xf numFmtId="0" fontId="0" fillId="0" borderId="5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4" xfId="0" applyBorder="1"/>
    <xf numFmtId="0" fontId="0" fillId="4" borderId="5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5" fillId="3" borderId="6" xfId="0" applyFont="1" applyFill="1" applyBorder="1"/>
    <xf numFmtId="0" fontId="6" fillId="0" borderId="7" xfId="0" applyFont="1" applyBorder="1"/>
    <xf numFmtId="0" fontId="1" fillId="2" borderId="0" xfId="6"/>
    <xf numFmtId="0" fontId="0" fillId="2" borderId="0" xfId="6" applyFont="1"/>
    <xf numFmtId="49" fontId="0" fillId="4" borderId="4" xfId="1" applyNumberFormat="1" applyFont="1" applyFill="1" applyBorder="1"/>
    <xf numFmtId="49" fontId="0" fillId="0" borderId="0" xfId="0" applyNumberFormat="1"/>
    <xf numFmtId="49" fontId="5" fillId="3" borderId="6" xfId="0" applyNumberFormat="1" applyFont="1" applyFill="1" applyBorder="1"/>
    <xf numFmtId="49" fontId="0" fillId="4" borderId="4" xfId="0" applyNumberFormat="1" applyFill="1" applyBorder="1"/>
    <xf numFmtId="49" fontId="6" fillId="0" borderId="7" xfId="0" applyNumberFormat="1" applyFont="1" applyBorder="1"/>
    <xf numFmtId="0" fontId="5" fillId="3" borderId="8" xfId="0" applyFont="1" applyFill="1" applyBorder="1"/>
    <xf numFmtId="44" fontId="0" fillId="4" borderId="4" xfId="2" applyFont="1" applyFill="1" applyBorder="1"/>
    <xf numFmtId="44" fontId="0" fillId="0" borderId="5" xfId="2" applyFont="1" applyBorder="1" applyAlignment="1">
      <alignment wrapText="1"/>
    </xf>
    <xf numFmtId="44" fontId="0" fillId="0" borderId="4" xfId="2" applyFont="1" applyBorder="1"/>
    <xf numFmtId="44" fontId="0" fillId="4" borderId="5" xfId="2" applyFont="1" applyFill="1" applyBorder="1" applyAlignment="1">
      <alignment wrapText="1"/>
    </xf>
    <xf numFmtId="44" fontId="6" fillId="0" borderId="7" xfId="2" applyFont="1" applyBorder="1"/>
    <xf numFmtId="0" fontId="0" fillId="4" borderId="4" xfId="2" applyNumberFormat="1" applyFont="1" applyFill="1" applyBorder="1"/>
    <xf numFmtId="0" fontId="6" fillId="0" borderId="7" xfId="2" applyNumberFormat="1" applyFont="1" applyBorder="1"/>
    <xf numFmtId="44" fontId="1" fillId="2" borderId="0" xfId="6" applyNumberFormat="1"/>
    <xf numFmtId="44" fontId="0" fillId="0" borderId="0" xfId="0" applyNumberFormat="1"/>
    <xf numFmtId="0" fontId="1" fillId="2" borderId="7" xfId="6" applyBorder="1"/>
    <xf numFmtId="0" fontId="2" fillId="0" borderId="0" xfId="3" applyBorder="1" applyAlignment="1">
      <alignment horizontal="center" vertical="center"/>
    </xf>
    <xf numFmtId="0" fontId="3" fillId="0" borderId="0" xfId="4" applyBorder="1" applyAlignment="1">
      <alignment horizontal="center" vertical="center"/>
    </xf>
    <xf numFmtId="14" fontId="4" fillId="0" borderId="0" xfId="5" applyNumberFormat="1" applyBorder="1" applyAlignment="1">
      <alignment horizontal="center" vertical="center"/>
    </xf>
    <xf numFmtId="44" fontId="0" fillId="0" borderId="0" xfId="2" applyFont="1"/>
  </cellXfs>
  <cellStyles count="7">
    <cellStyle name="20 % – Poudarek2" xfId="6" builtinId="34"/>
    <cellStyle name="Naslov 1" xfId="3" builtinId="16"/>
    <cellStyle name="Naslov 2" xfId="4" builtinId="17"/>
    <cellStyle name="Naslov 3" xfId="5" builtinId="18"/>
    <cellStyle name="Navadno" xfId="0" builtinId="0"/>
    <cellStyle name="Valuta" xfId="2" builtinId="4"/>
    <cellStyle name="Vejica" xfId="1" builtinId="3"/>
  </cellStyles>
  <dxfs count="47">
    <dxf>
      <numFmt numFmtId="34" formatCode="_-* #,##0.00\ &quot;€&quot;_-;\-* #,##0.00\ &quot;€&quot;_-;_-* &quot;-&quot;??\ &quot;€&quot;_-;_-@_-"/>
    </dxf>
    <dxf>
      <fill>
        <patternFill patternType="solid">
          <fgColor theme="5" tint="0.79998168889431442"/>
          <bgColor theme="5" tint="0.79998168889431442"/>
        </patternFill>
      </fill>
      <border diagonalUp="0" diagonalDown="0">
        <left/>
        <right/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border outline="0">
        <left style="thin">
          <color rgb="FFF4B084"/>
        </left>
        <right style="thin">
          <color rgb="FFF4B084"/>
        </right>
        <top style="thin">
          <color rgb="FFF4B084"/>
        </top>
        <bottom style="thin">
          <color rgb="FFF4B084"/>
        </bottom>
      </border>
    </dxf>
    <dxf>
      <border outline="0">
        <bottom style="thin">
          <color rgb="FFF4B08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5" tint="-0.499984740745262"/>
        </patternFill>
      </fill>
    </dxf>
    <dxf>
      <numFmt numFmtId="34" formatCode="_-* #,##0.00\ &quot;€&quot;_-;\-* #,##0.00\ &quot;€&quot;_-;_-* &quot;-&quot;??\ &quot;€&quot;_-;_-@_-"/>
    </dxf>
    <dxf>
      <border outline="0">
        <left style="thin">
          <color rgb="FFF4B084"/>
        </left>
        <right style="thin">
          <color rgb="FFF4B084"/>
        </right>
        <top style="thin">
          <color rgb="FFF4B084"/>
        </top>
        <bottom style="thin">
          <color rgb="FFF4B084"/>
        </bottom>
      </border>
    </dxf>
    <dxf>
      <border outline="0">
        <bottom style="thin">
          <color rgb="FFF4B08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5" tint="-0.499984740745262"/>
        </patternFill>
      </fill>
    </dxf>
    <dxf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/>
        <right/>
        <top style="thin">
          <color theme="5" tint="0.39997558519241921"/>
        </top>
        <bottom style="thin">
          <color theme="5" tint="0.39997558519241921"/>
        </bottom>
      </border>
    </dxf>
    <dxf>
      <fill>
        <patternFill patternType="solid">
          <fgColor theme="5" tint="0.79998168889431442"/>
          <bgColor theme="5" tint="0.79998168889431442"/>
        </patternFill>
      </fill>
      <border diagonalUp="0" diagonalDown="0">
        <left/>
        <right/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border outline="0">
        <left style="thin">
          <color rgb="FFF4B084"/>
        </left>
        <right style="thin">
          <color rgb="FFF4B084"/>
        </right>
        <top style="thin">
          <color rgb="FFF4B084"/>
        </top>
        <bottom style="thin">
          <color rgb="FFF4B084"/>
        </bottom>
      </border>
    </dxf>
    <dxf>
      <border outline="0">
        <bottom style="thin">
          <color rgb="FFF4B08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5" tint="-0.499984740745262"/>
        </patternFill>
      </fill>
    </dxf>
    <dxf>
      <border outline="0">
        <left style="thin">
          <color rgb="FFF4B084"/>
        </left>
        <right style="thin">
          <color rgb="FFF4B084"/>
        </right>
        <top style="thin">
          <color rgb="FFF4B084"/>
        </top>
        <bottom style="thin">
          <color rgb="FFF4B084"/>
        </bottom>
      </border>
    </dxf>
    <dxf>
      <border outline="0">
        <bottom style="thin">
          <color rgb="FFF4B08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5" tint="-0.499984740745262"/>
        </patternFill>
      </fill>
    </dxf>
    <dxf>
      <fill>
        <patternFill patternType="solid">
          <fgColor theme="5" tint="0.79998168889431442"/>
          <bgColor theme="5" tint="0.79998168889431442"/>
        </patternFill>
      </fill>
      <border diagonalUp="0" diagonalDown="0">
        <left/>
        <right/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border outline="0"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</border>
    </dxf>
    <dxf>
      <border outline="0"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5" tint="-0.499984740745262"/>
        </patternFill>
      </fill>
    </dxf>
    <dxf>
      <border outline="0"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</border>
    </dxf>
    <dxf>
      <border outline="0"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5" tint="-0.499984740745262"/>
        </patternFill>
      </fill>
    </dxf>
    <dxf>
      <border outline="0"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</border>
    </dxf>
    <dxf>
      <border outline="0"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5" tint="-0.499984740745262"/>
        </patternFill>
      </fill>
    </dxf>
    <dxf>
      <border outline="0"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</border>
    </dxf>
    <dxf>
      <border outline="0"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5" tint="-0.499984740745262"/>
        </patternFill>
      </fill>
    </dxf>
    <dxf>
      <border outline="0"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</border>
    </dxf>
    <dxf>
      <border outline="0"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5" tint="-0.499984740745262"/>
        </patternFill>
      </fill>
    </dxf>
    <dxf>
      <border outline="0"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</border>
    </dxf>
    <dxf>
      <border outline="0"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5" tint="-0.499984740745262"/>
        </patternFill>
      </fill>
    </dxf>
    <dxf>
      <border outline="0"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</border>
    </dxf>
    <dxf>
      <border outline="0"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5" tint="-0.499984740745262"/>
        </patternFill>
      </fill>
    </dxf>
    <dxf>
      <fill>
        <patternFill patternType="solid">
          <fgColor theme="5" tint="0.79998168889431442"/>
          <bgColor theme="5" tint="0.79998168889431442"/>
        </patternFill>
      </fill>
      <border diagonalUp="0" diagonalDown="0">
        <left/>
        <right/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border outline="0"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</border>
    </dxf>
    <dxf>
      <border outline="0"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5" tint="-0.499984740745262"/>
        </patternFill>
      </fill>
    </dxf>
    <dxf>
      <border outline="0"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</border>
    </dxf>
    <dxf>
      <border outline="0"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5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D6A09B-1644-42AE-AFC3-32E35130B990}" name="Tabela2" displayName="Tabela2" ref="B16:E26" totalsRowShown="0" headerRowDxfId="46" headerRowBorderDxfId="45" tableBorderDxfId="44">
  <autoFilter ref="B16:E26" xr:uid="{920690FD-5B9B-43C1-8E87-BE665135C283}"/>
  <tableColumns count="4">
    <tableColumn id="1" xr3:uid="{CB793CF1-E2CF-43C8-90DC-426746C8F25C}" name="Analiza"/>
    <tableColumn id="2" xr3:uid="{CCE10B0B-52E3-410A-9419-1EBA0C776BC7}" name="Število ur/zaposleni"/>
    <tableColumn id="3" xr3:uid="{9942D1F3-9E2D-4AA8-9749-C58252358309}" name="Število zaposlenih"/>
    <tableColumn id="4" xr3:uid="{0C0ABFA1-08C1-4AC3-8AE3-CFE0590B8812}" name="Skupaj ur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AD3A392-7AFE-4A93-981F-538923B3D930}" name="Tabela217" displayName="Tabela217" ref="B6:E14" totalsRowShown="0" headerRowDxfId="17" headerRowBorderDxfId="16" tableBorderDxfId="15">
  <autoFilter ref="B6:E14" xr:uid="{920690FD-5B9B-43C1-8E87-BE665135C283}"/>
  <tableColumns count="4">
    <tableColumn id="1" xr3:uid="{3E315830-7E4D-4FAE-9F92-689C8A6D4CF4}" name="Obračun plač"/>
    <tableColumn id="2" xr3:uid="{AB5BEEAE-E07B-43D2-A4E1-F29DFE000FD3}" name="Osnovna (BRUTO BRUTO) plača"/>
    <tableColumn id="3" xr3:uid="{8EB68656-2532-4397-82A6-B179A9C14062}" name="Število zaposlenih"/>
    <tableColumn id="4" xr3:uid="{D29A3A84-592C-4CD9-B4B7-680D807F75E0}" name="Skupaj plača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BD423E3D-FEF7-4BFB-A481-358AC94B79F8}" name="Tabela21625" displayName="Tabela21625" ref="B17:F25" totalsRowShown="0" headerRowDxfId="14" headerRowBorderDxfId="13" tableBorderDxfId="12">
  <autoFilter ref="B17:F25" xr:uid="{B5D8FC6C-8C2D-4568-88B5-D2F1A248B3FB}"/>
  <tableColumns count="5">
    <tableColumn id="1" xr3:uid="{DD1F804B-F099-49C1-81EB-3166C773465D}" name="Obračun plač"/>
    <tableColumn id="4" xr3:uid="{655EF0EB-B9ED-4FA5-B1F1-AE0F3CF5C734}" name="Strošek" dataDxfId="11"/>
    <tableColumn id="5" xr3:uid="{BF6152F4-4E2C-4FEC-951F-01D657B64015}" name="Doba (v letih)"/>
    <tableColumn id="6" xr3:uid="{26790E85-B957-40E0-BDAD-76A992632AF9}" name="Število zaposlenih" dataDxfId="10" dataCellStyle="Valuta"/>
    <tableColumn id="7" xr3:uid="{410F91B2-EDED-48C6-B7F5-79CB410E9A7C}" name="Skupaj strošek" dataDxfId="9">
      <calculatedColumnFormula>Tabela21625[[#This Row],[Število zaposlenih]]*Tabela21625[[#This Row],[Strošek]]/Tabela21625[[#This Row],[Doba (v letih)]]</calculatedColumnFormula>
    </tableColumn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742D2B81-0E04-4441-9262-867E49E41366}" name="Tabela21726" displayName="Tabela21726" ref="B6:D9" totalsRowShown="0" headerRowDxfId="8" headerRowBorderDxfId="7" tableBorderDxfId="6">
  <autoFilter ref="B6:D9" xr:uid="{920690FD-5B9B-43C1-8E87-BE665135C283}"/>
  <tableColumns count="3">
    <tableColumn id="1" xr3:uid="{5B6A7DD9-2261-4FE0-916B-6C9334F89F77}" name="Strošek podjetja"/>
    <tableColumn id="2" xr3:uid="{699AD23A-F49D-4046-BEB0-2ED4152C1632}" name="Postavka"/>
    <tableColumn id="5" xr3:uid="{1D3968B4-0628-45BA-B422-C8E0550B681E}" name="Stolpec1" dataDxfId="5">
      <calculatedColumnFormula>Tabela21726[[#This Row],[Postavka]]/C5/5</calculatedColumnFormula>
    </tableColumn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3DEB0A0-848C-4497-AACE-21800B75219E}" name="Tabela2162527" displayName="Tabela2162527" ref="B12:D15" totalsRowShown="0" headerRowDxfId="4" headerRowBorderDxfId="3" tableBorderDxfId="2">
  <autoFilter ref="B12:D15" xr:uid="{B5D8FC6C-8C2D-4568-88B5-D2F1A248B3FB}"/>
  <tableColumns count="3">
    <tableColumn id="1" xr3:uid="{C1E8E98F-8F2D-4F3A-A746-2C5CC968C1A6}" name="Obračun končne cene projekta"/>
    <tableColumn id="4" xr3:uid="{56D34BDA-01BD-4E98-93D3-DEC6F28D950A}" name="Postavka" dataDxfId="1"/>
    <tableColumn id="8" xr3:uid="{2C683D42-6247-4DFE-B483-3EB4EEA51AF2}" name="Možnost popusta" dataDxfId="0">
      <calculatedColumnFormula>Tabela2162527[[#This Row],[Postavka]]-C12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4B1008-4E10-40B8-BA89-36E4A4FE4CC2}" name="Tabela3" displayName="Tabela3" ref="B5:E13" totalsRowShown="0" headerRowDxfId="43" headerRowBorderDxfId="42" tableBorderDxfId="41">
  <autoFilter ref="B5:E13" xr:uid="{C285648D-5901-46D5-A16F-D6E52B586004}"/>
  <tableColumns count="4">
    <tableColumn id="1" xr3:uid="{7D0F7819-0D7B-4CAF-B0F6-D5D00EB18CED}" name="Specifikacija zahtev"/>
    <tableColumn id="2" xr3:uid="{1E35B9E7-A5CA-4638-A6BB-B2B70C45CC52}" name="Število ur/zaposleni"/>
    <tableColumn id="3" xr3:uid="{CC3A2667-4D9C-41F6-B8BB-B4CB0ABD4D3F}" name="Število zaposlenih"/>
    <tableColumn id="4" xr3:uid="{43B47AE2-74D4-491E-A157-FF310071B34E}" name="Skupaj ur" dataDxfId="4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042C9CD-9193-4268-A442-8F237DA469DA}" name="Tabela25" displayName="Tabela25" ref="B28:E38" totalsRowShown="0" headerRowDxfId="39" headerRowBorderDxfId="38" tableBorderDxfId="37">
  <autoFilter ref="B28:E38" xr:uid="{927F06EF-B4AF-4817-8FE0-1357DA910F5E}"/>
  <tableColumns count="4">
    <tableColumn id="1" xr3:uid="{D692BAE3-8BB6-44FE-A2B7-382EEBBA5747}" name="Načrtovanje"/>
    <tableColumn id="2" xr3:uid="{1E4A3E8D-4A85-4F3D-B8AB-4E58B602054D}" name="Število ur/zaposleni"/>
    <tableColumn id="3" xr3:uid="{E714B2F5-F3C3-4EDA-AC34-E66D7DF64C13}" name="Število zaposlenih"/>
    <tableColumn id="4" xr3:uid="{925843DB-4102-446E-9FD2-194A49893F61}" name="Skupaj ur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DE5F294-EB75-40C3-BDC3-25A3775E2C0E}" name="Tabela2510" displayName="Tabela2510" ref="B41:E47" totalsRowShown="0" headerRowDxfId="36" headerRowBorderDxfId="35" tableBorderDxfId="34">
  <autoFilter ref="B41:E47" xr:uid="{C6AA7157-99D4-4522-B8ED-2EF0D483F919}"/>
  <tableColumns count="4">
    <tableColumn id="1" xr3:uid="{B76C465E-749A-4F3A-8823-D48B8CE9767C}" name="Izvedba"/>
    <tableColumn id="2" xr3:uid="{65E8CEE6-0CCF-4FBD-AD8C-3BA2C12DD82E}" name="Število ur/zaposleni"/>
    <tableColumn id="3" xr3:uid="{AF9772C8-7C29-4FAC-9652-6173DDAECE89}" name="Število zaposlenih"/>
    <tableColumn id="4" xr3:uid="{2738A95F-5F4F-4086-AEEB-E7272C632C19}" name="Skupaj ur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3D41EFD-B95B-4F13-A080-055C7A5072AB}" name="Tabela251011" displayName="Tabela251011" ref="B50:E54" totalsRowShown="0" headerRowDxfId="33" headerRowBorderDxfId="32" tableBorderDxfId="31">
  <autoFilter ref="B50:E54" xr:uid="{9B812D22-3E4F-4F79-B2F7-CA5199245129}"/>
  <tableColumns count="4">
    <tableColumn id="1" xr3:uid="{7E52DB8E-92C3-4907-8F7B-008C34181118}" name="Testiranje (testno okolje)"/>
    <tableColumn id="2" xr3:uid="{26186270-F882-465B-8DE9-E4193CF8ADD6}" name="Število ur/zaposleni"/>
    <tableColumn id="3" xr3:uid="{087CAB63-87AD-439D-A624-10D70D605D11}" name="Število zaposlenih"/>
    <tableColumn id="4" xr3:uid="{A0DCDD6A-AE35-4E6B-8A29-F679C1BF64A4}" name="Skupaj ur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6CCA045-914A-49CB-8A9A-E768ED901E6D}" name="Tabela25101112" displayName="Tabela25101112" ref="B57:E61" totalsRowShown="0" headerRowDxfId="30" headerRowBorderDxfId="29" tableBorderDxfId="28">
  <autoFilter ref="B57:E61" xr:uid="{10328D17-0D3A-4676-9B89-D19D9504D48D}"/>
  <tableColumns count="4">
    <tableColumn id="1" xr3:uid="{BCFDCE79-B57F-4DB6-9DA5-B5A953AF1BE0}" name="Namestitev in testiranje"/>
    <tableColumn id="2" xr3:uid="{9C39A5C3-6428-4A75-A2D7-7983CB81B63A}" name="Število ur/zaposleni"/>
    <tableColumn id="3" xr3:uid="{FFF3A751-DC50-4D28-BB23-CB2314AC45F2}" name="Število zaposlenih"/>
    <tableColumn id="4" xr3:uid="{8D4B004D-F46D-418A-A3A1-45CB3767644B}" name="Skupaj ur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62D3991-3138-4A1B-A490-E501AF2D647E}" name="Tabela2513" displayName="Tabela2513" ref="B64:E71" totalsRowShown="0" headerRowDxfId="27" headerRowBorderDxfId="26" tableBorderDxfId="25">
  <autoFilter ref="B64:E71" xr:uid="{58557002-3734-4DEE-81E7-850674AAEC2C}"/>
  <tableColumns count="4">
    <tableColumn id="1" xr3:uid="{18B1C8D3-81D1-48FF-8D04-B5763A6677B0}" name="Uvedba in testiranje (produkcijsko okolje)"/>
    <tableColumn id="2" xr3:uid="{AE29701E-8D5E-4714-AD0D-2C32BCAB7189}" name="Število ur/zaposleni"/>
    <tableColumn id="3" xr3:uid="{97EF9A41-2823-41D9-8C38-101587DFD01E}" name="Število zaposlenih"/>
    <tableColumn id="4" xr3:uid="{321B5C51-2E3C-479F-AB63-D9DA6B76F518}" name="Skupaj ur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7D6EFE6-95C4-46F7-BAEE-0836AF8B75A7}" name="Tabela2510111214" displayName="Tabela2510111214" ref="B73:E76" totalsRowShown="0" headerRowDxfId="24" headerRowBorderDxfId="23" tableBorderDxfId="22">
  <autoFilter ref="B73:E76" xr:uid="{91B9E215-6DCD-4D4F-A845-C88AF904ED18}"/>
  <tableColumns count="4">
    <tableColumn id="1" xr3:uid="{EF425D46-1A21-4F48-8AF2-84330B823BFF}" name="Podpora"/>
    <tableColumn id="2" xr3:uid="{D5892E42-56A1-4BAE-A646-2F480FB28B76}" name="Število ur/zaposleni"/>
    <tableColumn id="3" xr3:uid="{15C61028-1FC6-48C6-BEE5-3A6667E9698E}" name="Število zaposlenih"/>
    <tableColumn id="4" xr3:uid="{CE97B6BE-C794-4000-86CF-057C6661F1F4}" name="Skupaj ur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5BC2EA9-F505-42CA-96C7-E27B714F8188}" name="Tabela216" displayName="Tabela216" ref="B80:D89" totalsRowShown="0" headerRowDxfId="21" headerRowBorderDxfId="20" tableBorderDxfId="19">
  <autoFilter ref="B80:D89" xr:uid="{B5D8FC6C-8C2D-4568-88B5-D2F1A248B3FB}"/>
  <tableColumns count="3">
    <tableColumn id="1" xr3:uid="{E9EB9591-C225-4099-A533-48F37E6984BE}" name="Analiza"/>
    <tableColumn id="4" xr3:uid="{D9C93030-88C7-4127-90BD-8017177C979B}" name="Skupaj ur" dataDxfId="18"/>
    <tableColumn id="5" xr3:uid="{4D5FE0B1-7834-4056-A880-6720E0676C1B}" name="Trajanje v tednih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0BBFD-275D-4825-B467-07767C083BCB}">
  <dimension ref="B3:O56"/>
  <sheetViews>
    <sheetView workbookViewId="0">
      <selection sqref="A1:XFD1048576"/>
    </sheetView>
  </sheetViews>
  <sheetFormatPr defaultRowHeight="15" x14ac:dyDescent="0.25"/>
  <cols>
    <col min="9" max="9" width="15.7109375" bestFit="1" customWidth="1"/>
    <col min="10" max="10" width="16.7109375" bestFit="1" customWidth="1"/>
    <col min="11" max="11" width="16.7109375" customWidth="1"/>
    <col min="12" max="12" width="11.7109375" bestFit="1" customWidth="1"/>
  </cols>
  <sheetData>
    <row r="3" spans="2:15" x14ac:dyDescent="0.25">
      <c r="B3" t="s">
        <v>0</v>
      </c>
      <c r="I3" t="s">
        <v>49</v>
      </c>
      <c r="J3" t="s">
        <v>50</v>
      </c>
      <c r="L3" t="s">
        <v>51</v>
      </c>
    </row>
    <row r="4" spans="2:15" x14ac:dyDescent="0.25">
      <c r="C4" t="s">
        <v>1</v>
      </c>
      <c r="J4">
        <v>2</v>
      </c>
      <c r="K4">
        <f>I4+J4*8</f>
        <v>16</v>
      </c>
      <c r="L4">
        <v>2</v>
      </c>
      <c r="M4">
        <f t="shared" ref="M4:M10" si="0">L4*J4*8+L4*I4</f>
        <v>32</v>
      </c>
    </row>
    <row r="5" spans="2:15" x14ac:dyDescent="0.25">
      <c r="C5" t="s">
        <v>2</v>
      </c>
      <c r="I5">
        <v>3</v>
      </c>
      <c r="K5">
        <f t="shared" ref="K5:K54" si="1">I5+J5*8</f>
        <v>3</v>
      </c>
      <c r="L5">
        <v>2</v>
      </c>
      <c r="M5">
        <f t="shared" si="0"/>
        <v>6</v>
      </c>
    </row>
    <row r="6" spans="2:15" x14ac:dyDescent="0.25">
      <c r="C6" t="s">
        <v>3</v>
      </c>
      <c r="I6">
        <v>10</v>
      </c>
      <c r="K6">
        <f t="shared" si="1"/>
        <v>10</v>
      </c>
      <c r="L6">
        <v>2</v>
      </c>
      <c r="M6">
        <f t="shared" si="0"/>
        <v>20</v>
      </c>
    </row>
    <row r="7" spans="2:15" x14ac:dyDescent="0.25">
      <c r="D7" t="s">
        <v>4</v>
      </c>
      <c r="I7">
        <v>5</v>
      </c>
      <c r="K7">
        <f t="shared" si="1"/>
        <v>5</v>
      </c>
      <c r="L7">
        <v>3</v>
      </c>
      <c r="M7">
        <f t="shared" si="0"/>
        <v>15</v>
      </c>
    </row>
    <row r="8" spans="2:15" x14ac:dyDescent="0.25">
      <c r="D8" t="s">
        <v>5</v>
      </c>
      <c r="I8">
        <v>3</v>
      </c>
      <c r="K8">
        <f t="shared" si="1"/>
        <v>3</v>
      </c>
      <c r="L8">
        <v>2</v>
      </c>
      <c r="M8">
        <f t="shared" si="0"/>
        <v>6</v>
      </c>
    </row>
    <row r="9" spans="2:15" x14ac:dyDescent="0.25">
      <c r="C9" t="s">
        <v>6</v>
      </c>
      <c r="I9">
        <v>10</v>
      </c>
      <c r="K9">
        <f t="shared" si="1"/>
        <v>10</v>
      </c>
      <c r="L9">
        <v>2</v>
      </c>
      <c r="M9">
        <f t="shared" si="0"/>
        <v>20</v>
      </c>
    </row>
    <row r="10" spans="2:15" x14ac:dyDescent="0.25">
      <c r="C10" t="s">
        <v>7</v>
      </c>
      <c r="I10">
        <v>1</v>
      </c>
      <c r="K10">
        <f t="shared" si="1"/>
        <v>1</v>
      </c>
      <c r="L10">
        <v>2</v>
      </c>
      <c r="M10">
        <f t="shared" si="0"/>
        <v>2</v>
      </c>
      <c r="O10">
        <f>SUM(M4:M10)</f>
        <v>101</v>
      </c>
    </row>
    <row r="11" spans="2:15" x14ac:dyDescent="0.25">
      <c r="B11" t="s">
        <v>8</v>
      </c>
      <c r="K11">
        <f t="shared" si="1"/>
        <v>0</v>
      </c>
    </row>
    <row r="12" spans="2:15" x14ac:dyDescent="0.25">
      <c r="C12" t="s">
        <v>9</v>
      </c>
      <c r="I12">
        <v>5</v>
      </c>
      <c r="K12">
        <f t="shared" si="1"/>
        <v>5</v>
      </c>
      <c r="L12">
        <v>1</v>
      </c>
      <c r="M12">
        <f t="shared" ref="M12:M30" si="2">L12*J12*8+L12*I12</f>
        <v>5</v>
      </c>
    </row>
    <row r="13" spans="2:15" x14ac:dyDescent="0.25">
      <c r="C13" t="s">
        <v>11</v>
      </c>
      <c r="I13">
        <v>5</v>
      </c>
      <c r="K13">
        <f t="shared" si="1"/>
        <v>5</v>
      </c>
      <c r="L13">
        <v>1</v>
      </c>
      <c r="M13">
        <f t="shared" si="2"/>
        <v>5</v>
      </c>
    </row>
    <row r="14" spans="2:15" x14ac:dyDescent="0.25">
      <c r="C14" t="s">
        <v>12</v>
      </c>
      <c r="I14">
        <v>5</v>
      </c>
      <c r="K14">
        <f t="shared" si="1"/>
        <v>5</v>
      </c>
      <c r="L14">
        <v>1</v>
      </c>
      <c r="M14">
        <f t="shared" si="2"/>
        <v>5</v>
      </c>
    </row>
    <row r="15" spans="2:15" x14ac:dyDescent="0.25">
      <c r="C15" t="s">
        <v>13</v>
      </c>
      <c r="I15">
        <v>5</v>
      </c>
      <c r="K15">
        <f t="shared" si="1"/>
        <v>5</v>
      </c>
      <c r="L15">
        <v>1</v>
      </c>
      <c r="M15">
        <f t="shared" si="2"/>
        <v>5</v>
      </c>
    </row>
    <row r="16" spans="2:15" x14ac:dyDescent="0.25">
      <c r="C16" t="s">
        <v>14</v>
      </c>
      <c r="J16">
        <v>5</v>
      </c>
      <c r="K16">
        <f t="shared" si="1"/>
        <v>40</v>
      </c>
      <c r="L16">
        <v>1</v>
      </c>
      <c r="M16">
        <f t="shared" si="2"/>
        <v>40</v>
      </c>
    </row>
    <row r="17" spans="2:15" x14ac:dyDescent="0.25">
      <c r="C17" t="s">
        <v>15</v>
      </c>
      <c r="J17">
        <v>5</v>
      </c>
      <c r="K17">
        <f t="shared" si="1"/>
        <v>40</v>
      </c>
      <c r="L17">
        <v>4</v>
      </c>
      <c r="M17">
        <f t="shared" si="2"/>
        <v>160</v>
      </c>
    </row>
    <row r="18" spans="2:15" x14ac:dyDescent="0.25">
      <c r="C18" t="s">
        <v>16</v>
      </c>
      <c r="I18">
        <v>2</v>
      </c>
      <c r="K18">
        <f t="shared" si="1"/>
        <v>2</v>
      </c>
      <c r="L18">
        <v>2</v>
      </c>
      <c r="M18">
        <f t="shared" si="2"/>
        <v>4</v>
      </c>
    </row>
    <row r="19" spans="2:15" x14ac:dyDescent="0.25">
      <c r="C19" t="s">
        <v>17</v>
      </c>
      <c r="I19">
        <v>2</v>
      </c>
      <c r="K19">
        <f t="shared" si="1"/>
        <v>2</v>
      </c>
      <c r="L19">
        <v>2</v>
      </c>
      <c r="M19">
        <f t="shared" si="2"/>
        <v>4</v>
      </c>
    </row>
    <row r="20" spans="2:15" x14ac:dyDescent="0.25">
      <c r="C20" t="s">
        <v>18</v>
      </c>
      <c r="I20">
        <v>2</v>
      </c>
      <c r="K20">
        <f t="shared" si="1"/>
        <v>2</v>
      </c>
      <c r="L20">
        <v>2</v>
      </c>
      <c r="M20">
        <f t="shared" si="2"/>
        <v>4</v>
      </c>
    </row>
    <row r="21" spans="2:15" x14ac:dyDescent="0.25">
      <c r="C21" t="s">
        <v>19</v>
      </c>
      <c r="I21">
        <v>1</v>
      </c>
      <c r="K21">
        <f t="shared" si="1"/>
        <v>1</v>
      </c>
      <c r="L21">
        <v>2</v>
      </c>
      <c r="M21">
        <f t="shared" si="2"/>
        <v>2</v>
      </c>
    </row>
    <row r="22" spans="2:15" x14ac:dyDescent="0.25">
      <c r="B22" t="s">
        <v>20</v>
      </c>
      <c r="K22">
        <f t="shared" si="1"/>
        <v>0</v>
      </c>
      <c r="M22">
        <f t="shared" si="2"/>
        <v>0</v>
      </c>
    </row>
    <row r="23" spans="2:15" x14ac:dyDescent="0.25">
      <c r="C23" t="s">
        <v>21</v>
      </c>
      <c r="I23">
        <v>5</v>
      </c>
      <c r="K23">
        <f t="shared" si="1"/>
        <v>5</v>
      </c>
      <c r="L23">
        <v>1</v>
      </c>
      <c r="M23">
        <f t="shared" si="2"/>
        <v>5</v>
      </c>
    </row>
    <row r="24" spans="2:15" x14ac:dyDescent="0.25">
      <c r="C24" t="s">
        <v>10</v>
      </c>
      <c r="J24">
        <v>1</v>
      </c>
      <c r="K24">
        <f t="shared" si="1"/>
        <v>8</v>
      </c>
      <c r="L24">
        <v>1</v>
      </c>
      <c r="M24">
        <f t="shared" si="2"/>
        <v>8</v>
      </c>
    </row>
    <row r="25" spans="2:15" x14ac:dyDescent="0.25">
      <c r="C25" t="s">
        <v>22</v>
      </c>
      <c r="I25">
        <v>3</v>
      </c>
      <c r="K25">
        <f t="shared" si="1"/>
        <v>3</v>
      </c>
      <c r="L25">
        <v>1</v>
      </c>
      <c r="M25">
        <f t="shared" si="2"/>
        <v>3</v>
      </c>
    </row>
    <row r="26" spans="2:15" x14ac:dyDescent="0.25">
      <c r="C26" t="s">
        <v>23</v>
      </c>
      <c r="I26">
        <v>5</v>
      </c>
      <c r="K26">
        <f t="shared" si="1"/>
        <v>5</v>
      </c>
      <c r="L26">
        <v>1</v>
      </c>
      <c r="M26">
        <f t="shared" si="2"/>
        <v>5</v>
      </c>
    </row>
    <row r="27" spans="2:15" x14ac:dyDescent="0.25">
      <c r="C27" t="s">
        <v>24</v>
      </c>
      <c r="J27">
        <v>1</v>
      </c>
      <c r="K27">
        <f t="shared" si="1"/>
        <v>8</v>
      </c>
      <c r="L27">
        <v>3</v>
      </c>
      <c r="M27">
        <f t="shared" si="2"/>
        <v>24</v>
      </c>
    </row>
    <row r="28" spans="2:15" x14ac:dyDescent="0.25">
      <c r="C28" t="s">
        <v>25</v>
      </c>
      <c r="J28">
        <v>1</v>
      </c>
      <c r="K28">
        <f t="shared" si="1"/>
        <v>8</v>
      </c>
      <c r="L28">
        <v>3</v>
      </c>
      <c r="M28">
        <f t="shared" si="2"/>
        <v>24</v>
      </c>
    </row>
    <row r="29" spans="2:15" x14ac:dyDescent="0.25">
      <c r="C29" t="s">
        <v>26</v>
      </c>
      <c r="I29">
        <v>1</v>
      </c>
      <c r="K29">
        <f t="shared" si="1"/>
        <v>1</v>
      </c>
      <c r="L29">
        <v>2</v>
      </c>
      <c r="M29">
        <f t="shared" si="2"/>
        <v>2</v>
      </c>
    </row>
    <row r="30" spans="2:15" x14ac:dyDescent="0.25">
      <c r="C30" t="s">
        <v>27</v>
      </c>
      <c r="I30">
        <v>2</v>
      </c>
      <c r="K30">
        <f t="shared" si="1"/>
        <v>2</v>
      </c>
      <c r="L30">
        <v>2</v>
      </c>
      <c r="M30">
        <f t="shared" si="2"/>
        <v>4</v>
      </c>
      <c r="O30">
        <f>SUM(M12:M30)</f>
        <v>309</v>
      </c>
    </row>
    <row r="31" spans="2:15" x14ac:dyDescent="0.25">
      <c r="B31" t="s">
        <v>28</v>
      </c>
      <c r="K31">
        <f t="shared" si="1"/>
        <v>0</v>
      </c>
    </row>
    <row r="32" spans="2:15" x14ac:dyDescent="0.25">
      <c r="C32" t="s">
        <v>32</v>
      </c>
      <c r="I32">
        <v>8</v>
      </c>
      <c r="K32">
        <f t="shared" si="1"/>
        <v>8</v>
      </c>
      <c r="L32">
        <v>5</v>
      </c>
      <c r="M32">
        <f>L32*J32*8+L32*I32</f>
        <v>40</v>
      </c>
    </row>
    <row r="33" spans="2:15" x14ac:dyDescent="0.25">
      <c r="C33" t="s">
        <v>34</v>
      </c>
      <c r="I33">
        <v>10</v>
      </c>
      <c r="K33">
        <f t="shared" si="1"/>
        <v>10</v>
      </c>
      <c r="L33">
        <v>1</v>
      </c>
      <c r="M33">
        <f>L33*J33*8+L33*I33</f>
        <v>10</v>
      </c>
    </row>
    <row r="34" spans="2:15" x14ac:dyDescent="0.25">
      <c r="C34" t="s">
        <v>29</v>
      </c>
      <c r="J34">
        <v>50</v>
      </c>
      <c r="K34">
        <f t="shared" si="1"/>
        <v>400</v>
      </c>
      <c r="L34">
        <v>7</v>
      </c>
      <c r="M34">
        <f>L34*J34*8+L34*I34</f>
        <v>2800</v>
      </c>
    </row>
    <row r="35" spans="2:15" x14ac:dyDescent="0.25">
      <c r="C35" t="s">
        <v>30</v>
      </c>
      <c r="J35">
        <v>5</v>
      </c>
      <c r="K35">
        <f t="shared" si="1"/>
        <v>40</v>
      </c>
      <c r="L35">
        <v>2</v>
      </c>
      <c r="M35">
        <f>L35*J35*8+L35*I35</f>
        <v>80</v>
      </c>
    </row>
    <row r="36" spans="2:15" x14ac:dyDescent="0.25">
      <c r="C36" t="s">
        <v>35</v>
      </c>
      <c r="I36">
        <v>10</v>
      </c>
      <c r="K36">
        <f t="shared" si="1"/>
        <v>10</v>
      </c>
      <c r="L36">
        <v>2</v>
      </c>
      <c r="M36">
        <f>L36*J36*8+L36*I36</f>
        <v>20</v>
      </c>
      <c r="O36">
        <f>SUM(M32:M36)</f>
        <v>2950</v>
      </c>
    </row>
    <row r="37" spans="2:15" x14ac:dyDescent="0.25">
      <c r="B37" t="s">
        <v>31</v>
      </c>
      <c r="K37">
        <f t="shared" si="1"/>
        <v>0</v>
      </c>
    </row>
    <row r="38" spans="2:15" x14ac:dyDescent="0.25">
      <c r="C38" t="s">
        <v>32</v>
      </c>
      <c r="I38">
        <v>8</v>
      </c>
      <c r="K38">
        <f t="shared" si="1"/>
        <v>8</v>
      </c>
      <c r="L38">
        <v>3</v>
      </c>
      <c r="M38">
        <f>L38*J38*8+L38*I38</f>
        <v>24</v>
      </c>
    </row>
    <row r="39" spans="2:15" x14ac:dyDescent="0.25">
      <c r="C39" t="s">
        <v>33</v>
      </c>
      <c r="I39">
        <v>10</v>
      </c>
      <c r="K39">
        <f t="shared" si="1"/>
        <v>10</v>
      </c>
      <c r="L39">
        <v>3</v>
      </c>
      <c r="M39">
        <f>L39*J39*8+L39*I39</f>
        <v>30</v>
      </c>
    </row>
    <row r="40" spans="2:15" x14ac:dyDescent="0.25">
      <c r="C40" t="s">
        <v>48</v>
      </c>
      <c r="J40">
        <v>5</v>
      </c>
      <c r="K40">
        <f t="shared" si="1"/>
        <v>40</v>
      </c>
      <c r="L40">
        <v>3</v>
      </c>
      <c r="M40">
        <f>L40*J40*8+L40*I40</f>
        <v>120</v>
      </c>
      <c r="O40">
        <f>SUM(M38:M40)</f>
        <v>174</v>
      </c>
    </row>
    <row r="41" spans="2:15" x14ac:dyDescent="0.25">
      <c r="B41" t="s">
        <v>38</v>
      </c>
      <c r="K41">
        <f t="shared" si="1"/>
        <v>0</v>
      </c>
    </row>
    <row r="42" spans="2:15" x14ac:dyDescent="0.25">
      <c r="C42" t="s">
        <v>36</v>
      </c>
      <c r="I42">
        <v>3</v>
      </c>
      <c r="K42">
        <f t="shared" si="1"/>
        <v>3</v>
      </c>
      <c r="L42">
        <v>2</v>
      </c>
      <c r="M42">
        <f t="shared" ref="M42:M54" si="3">L42*J42*8+L42*I42</f>
        <v>6</v>
      </c>
    </row>
    <row r="43" spans="2:15" x14ac:dyDescent="0.25">
      <c r="C43" t="s">
        <v>37</v>
      </c>
      <c r="J43">
        <v>4</v>
      </c>
      <c r="K43">
        <f t="shared" si="1"/>
        <v>32</v>
      </c>
      <c r="L43">
        <v>3</v>
      </c>
      <c r="M43">
        <f t="shared" si="3"/>
        <v>96</v>
      </c>
    </row>
    <row r="44" spans="2:15" x14ac:dyDescent="0.25">
      <c r="C44" t="s">
        <v>39</v>
      </c>
      <c r="J44">
        <v>1</v>
      </c>
      <c r="K44">
        <f t="shared" si="1"/>
        <v>8</v>
      </c>
      <c r="L44">
        <v>3</v>
      </c>
      <c r="M44">
        <f t="shared" si="3"/>
        <v>24</v>
      </c>
    </row>
    <row r="45" spans="2:15" x14ac:dyDescent="0.25">
      <c r="B45" t="s">
        <v>40</v>
      </c>
      <c r="K45">
        <f t="shared" si="1"/>
        <v>0</v>
      </c>
    </row>
    <row r="46" spans="2:15" x14ac:dyDescent="0.25">
      <c r="C46" t="s">
        <v>41</v>
      </c>
      <c r="I46">
        <v>4</v>
      </c>
      <c r="K46">
        <f t="shared" si="1"/>
        <v>4</v>
      </c>
      <c r="L46">
        <v>3</v>
      </c>
      <c r="M46">
        <f t="shared" si="3"/>
        <v>12</v>
      </c>
    </row>
    <row r="47" spans="2:15" x14ac:dyDescent="0.25">
      <c r="C47" t="s">
        <v>42</v>
      </c>
      <c r="J47">
        <v>3</v>
      </c>
      <c r="K47">
        <f t="shared" si="1"/>
        <v>24</v>
      </c>
      <c r="L47">
        <v>3</v>
      </c>
      <c r="M47">
        <f t="shared" si="3"/>
        <v>72</v>
      </c>
    </row>
    <row r="48" spans="2:15" x14ac:dyDescent="0.25">
      <c r="C48" t="s">
        <v>48</v>
      </c>
      <c r="I48">
        <v>20</v>
      </c>
      <c r="K48">
        <f t="shared" si="1"/>
        <v>20</v>
      </c>
      <c r="L48">
        <v>3</v>
      </c>
      <c r="M48">
        <f t="shared" si="3"/>
        <v>60</v>
      </c>
    </row>
    <row r="49" spans="2:13" x14ac:dyDescent="0.25">
      <c r="C49" t="s">
        <v>43</v>
      </c>
      <c r="J49">
        <v>20</v>
      </c>
      <c r="K49">
        <f t="shared" si="1"/>
        <v>160</v>
      </c>
      <c r="L49">
        <v>4</v>
      </c>
      <c r="M49">
        <f t="shared" si="3"/>
        <v>640</v>
      </c>
    </row>
    <row r="50" spans="2:13" x14ac:dyDescent="0.25">
      <c r="C50" t="s">
        <v>44</v>
      </c>
      <c r="I50">
        <v>100</v>
      </c>
      <c r="K50">
        <f t="shared" si="1"/>
        <v>100</v>
      </c>
      <c r="L50">
        <v>2</v>
      </c>
      <c r="M50">
        <f t="shared" si="3"/>
        <v>200</v>
      </c>
    </row>
    <row r="51" spans="2:13" x14ac:dyDescent="0.25">
      <c r="C51" t="s">
        <v>45</v>
      </c>
      <c r="I51">
        <v>3</v>
      </c>
      <c r="K51">
        <f t="shared" si="1"/>
        <v>3</v>
      </c>
      <c r="L51">
        <v>3</v>
      </c>
      <c r="M51">
        <f t="shared" si="3"/>
        <v>9</v>
      </c>
    </row>
    <row r="52" spans="2:13" x14ac:dyDescent="0.25">
      <c r="B52" t="s">
        <v>46</v>
      </c>
      <c r="K52">
        <f t="shared" si="1"/>
        <v>0</v>
      </c>
    </row>
    <row r="53" spans="2:13" x14ac:dyDescent="0.25">
      <c r="C53" t="s">
        <v>44</v>
      </c>
      <c r="I53">
        <v>100</v>
      </c>
      <c r="K53">
        <f t="shared" si="1"/>
        <v>100</v>
      </c>
      <c r="L53">
        <v>2</v>
      </c>
      <c r="M53">
        <f t="shared" si="3"/>
        <v>200</v>
      </c>
    </row>
    <row r="54" spans="2:13" x14ac:dyDescent="0.25">
      <c r="C54" t="s">
        <v>47</v>
      </c>
      <c r="I54">
        <v>100</v>
      </c>
      <c r="K54">
        <f t="shared" si="1"/>
        <v>100</v>
      </c>
      <c r="L54">
        <v>1</v>
      </c>
      <c r="M54">
        <f t="shared" si="3"/>
        <v>100</v>
      </c>
    </row>
    <row r="56" spans="2:13" x14ac:dyDescent="0.25">
      <c r="J56">
        <f>SUM(I4:I54)+8*SUM(J4:J54)</f>
        <v>1275</v>
      </c>
      <c r="K56">
        <f>SUM(K4:K54)</f>
        <v>1275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18D7A-341B-4549-A415-E4F50B16C616}">
  <dimension ref="A1:H89"/>
  <sheetViews>
    <sheetView workbookViewId="0">
      <selection activeCell="B35" sqref="B35"/>
    </sheetView>
  </sheetViews>
  <sheetFormatPr defaultRowHeight="15" x14ac:dyDescent="0.25"/>
  <cols>
    <col min="1" max="1" width="3.5703125" style="12" bestFit="1" customWidth="1"/>
    <col min="2" max="2" width="58.42578125" customWidth="1"/>
    <col min="3" max="3" width="21.28515625" bestFit="1" customWidth="1"/>
    <col min="4" max="4" width="19.28515625" customWidth="1"/>
    <col min="5" max="5" width="11.28515625" customWidth="1"/>
    <col min="7" max="7" width="13.140625" bestFit="1" customWidth="1"/>
    <col min="8" max="8" width="12" bestFit="1" customWidth="1"/>
  </cols>
  <sheetData>
    <row r="1" spans="1:8" ht="19.5" x14ac:dyDescent="0.25">
      <c r="A1" s="27" t="s">
        <v>52</v>
      </c>
      <c r="B1" s="27"/>
      <c r="C1" s="27"/>
      <c r="D1" s="27"/>
      <c r="E1" s="27"/>
    </row>
    <row r="2" spans="1:8" ht="17.25" x14ac:dyDescent="0.25">
      <c r="A2" s="28" t="s">
        <v>53</v>
      </c>
      <c r="B2" s="28"/>
      <c r="C2" s="28"/>
      <c r="D2" s="28"/>
      <c r="E2" s="28"/>
    </row>
    <row r="3" spans="1:8" x14ac:dyDescent="0.25">
      <c r="A3" s="29">
        <v>43811</v>
      </c>
      <c r="B3" s="29"/>
      <c r="C3" s="29"/>
      <c r="D3" s="29"/>
      <c r="E3" s="29"/>
    </row>
    <row r="5" spans="1:8" x14ac:dyDescent="0.25">
      <c r="A5" s="13" t="s">
        <v>106</v>
      </c>
      <c r="B5" s="7" t="s">
        <v>54</v>
      </c>
      <c r="C5" s="7" t="s">
        <v>74</v>
      </c>
      <c r="D5" s="7" t="s">
        <v>55</v>
      </c>
      <c r="E5" s="7" t="s">
        <v>56</v>
      </c>
    </row>
    <row r="6" spans="1:8" x14ac:dyDescent="0.25">
      <c r="A6" s="11" t="s">
        <v>107</v>
      </c>
      <c r="B6" s="6" t="s">
        <v>57</v>
      </c>
      <c r="C6" s="1">
        <v>16</v>
      </c>
      <c r="D6" s="1">
        <v>2</v>
      </c>
      <c r="E6" s="1">
        <f>D6*C6</f>
        <v>32</v>
      </c>
      <c r="G6" t="s">
        <v>198</v>
      </c>
    </row>
    <row r="7" spans="1:8" x14ac:dyDescent="0.25">
      <c r="A7" s="14" t="s">
        <v>108</v>
      </c>
      <c r="B7" s="3" t="s">
        <v>58</v>
      </c>
      <c r="C7" s="2">
        <v>10</v>
      </c>
      <c r="D7" s="3">
        <v>2</v>
      </c>
      <c r="E7" s="1">
        <f t="shared" ref="E7:E12" si="0">D7*C7</f>
        <v>20</v>
      </c>
      <c r="G7" t="s">
        <v>198</v>
      </c>
    </row>
    <row r="8" spans="1:8" x14ac:dyDescent="0.25">
      <c r="A8" s="14" t="s">
        <v>108</v>
      </c>
      <c r="B8" s="6" t="s">
        <v>59</v>
      </c>
      <c r="C8" s="1">
        <v>5</v>
      </c>
      <c r="D8" s="1">
        <v>3</v>
      </c>
      <c r="E8" s="1">
        <f t="shared" si="0"/>
        <v>15</v>
      </c>
      <c r="G8" t="s">
        <v>198</v>
      </c>
    </row>
    <row r="9" spans="1:8" x14ac:dyDescent="0.25">
      <c r="A9" s="14" t="s">
        <v>108</v>
      </c>
      <c r="B9" s="3" t="s">
        <v>60</v>
      </c>
      <c r="C9" s="4">
        <v>3</v>
      </c>
      <c r="D9" s="4">
        <v>2</v>
      </c>
      <c r="E9" s="1">
        <f t="shared" si="0"/>
        <v>6</v>
      </c>
      <c r="G9" t="s">
        <v>198</v>
      </c>
    </row>
    <row r="10" spans="1:8" x14ac:dyDescent="0.25">
      <c r="A10" s="14" t="s">
        <v>109</v>
      </c>
      <c r="B10" s="6" t="s">
        <v>61</v>
      </c>
      <c r="C10" s="5">
        <v>10</v>
      </c>
      <c r="D10" s="6">
        <v>3</v>
      </c>
      <c r="E10" s="1">
        <f t="shared" si="0"/>
        <v>30</v>
      </c>
      <c r="G10" t="s">
        <v>198</v>
      </c>
    </row>
    <row r="11" spans="1:8" x14ac:dyDescent="0.25">
      <c r="A11" s="14" t="s">
        <v>110</v>
      </c>
      <c r="B11" s="3" t="s">
        <v>197</v>
      </c>
      <c r="C11" s="4">
        <v>3</v>
      </c>
      <c r="D11" s="4">
        <v>2</v>
      </c>
      <c r="E11" s="1">
        <f t="shared" si="0"/>
        <v>6</v>
      </c>
      <c r="G11" t="s">
        <v>198</v>
      </c>
    </row>
    <row r="12" spans="1:8" ht="15.75" thickBot="1" x14ac:dyDescent="0.3">
      <c r="A12" s="14" t="s">
        <v>111</v>
      </c>
      <c r="B12" s="6" t="s">
        <v>62</v>
      </c>
      <c r="C12" s="1">
        <v>1</v>
      </c>
      <c r="D12" s="1">
        <v>2</v>
      </c>
      <c r="E12" s="1">
        <f t="shared" si="0"/>
        <v>2</v>
      </c>
    </row>
    <row r="13" spans="1:8" ht="15.75" thickTop="1" x14ac:dyDescent="0.25">
      <c r="A13" s="15"/>
      <c r="B13" s="8" t="s">
        <v>63</v>
      </c>
      <c r="C13" s="8">
        <f>SUM(C6:C12)</f>
        <v>48</v>
      </c>
      <c r="D13" s="8"/>
      <c r="E13" s="8">
        <f>SUM(E6:E12)</f>
        <v>111</v>
      </c>
      <c r="G13" s="25">
        <f>'Končni obračun'!C15/C89*Tabela3[[#This Row],[Skupaj ur]]</f>
        <v>15374.100069672024</v>
      </c>
      <c r="H13" s="30"/>
    </row>
    <row r="16" spans="1:8" x14ac:dyDescent="0.25">
      <c r="A16" s="13" t="s">
        <v>112</v>
      </c>
      <c r="B16" s="7" t="s">
        <v>64</v>
      </c>
      <c r="C16" s="7" t="s">
        <v>74</v>
      </c>
      <c r="D16" s="7" t="s">
        <v>55</v>
      </c>
      <c r="E16" s="7" t="s">
        <v>56</v>
      </c>
    </row>
    <row r="17" spans="1:7" x14ac:dyDescent="0.25">
      <c r="A17" s="14" t="s">
        <v>113</v>
      </c>
      <c r="B17" s="6" t="s">
        <v>65</v>
      </c>
      <c r="C17" s="1">
        <v>5</v>
      </c>
      <c r="D17" s="1">
        <v>1</v>
      </c>
      <c r="E17" s="1">
        <f>D17*C17</f>
        <v>5</v>
      </c>
      <c r="G17" t="s">
        <v>198</v>
      </c>
    </row>
    <row r="18" spans="1:7" x14ac:dyDescent="0.25">
      <c r="A18" s="14" t="s">
        <v>114</v>
      </c>
      <c r="B18" s="3" t="s">
        <v>66</v>
      </c>
      <c r="C18" s="2">
        <v>10</v>
      </c>
      <c r="D18" s="3">
        <v>1</v>
      </c>
      <c r="E18" s="1">
        <f t="shared" ref="E18:E25" si="1">D18*C18</f>
        <v>10</v>
      </c>
    </row>
    <row r="19" spans="1:7" x14ac:dyDescent="0.25">
      <c r="A19" s="14" t="s">
        <v>115</v>
      </c>
      <c r="B19" s="6" t="s">
        <v>67</v>
      </c>
      <c r="C19" s="1">
        <v>5</v>
      </c>
      <c r="D19" s="1">
        <v>1</v>
      </c>
      <c r="E19" s="1">
        <f t="shared" si="1"/>
        <v>5</v>
      </c>
      <c r="G19" t="s">
        <v>198</v>
      </c>
    </row>
    <row r="20" spans="1:7" x14ac:dyDescent="0.25">
      <c r="A20" s="14" t="s">
        <v>116</v>
      </c>
      <c r="B20" s="3" t="s">
        <v>68</v>
      </c>
      <c r="C20" s="4">
        <v>40</v>
      </c>
      <c r="D20" s="4">
        <v>1</v>
      </c>
      <c r="E20" s="1">
        <f t="shared" si="1"/>
        <v>40</v>
      </c>
      <c r="G20" t="s">
        <v>198</v>
      </c>
    </row>
    <row r="21" spans="1:7" x14ac:dyDescent="0.25">
      <c r="A21" s="14" t="s">
        <v>117</v>
      </c>
      <c r="B21" s="6" t="s">
        <v>69</v>
      </c>
      <c r="C21" s="5">
        <v>40</v>
      </c>
      <c r="D21" s="6">
        <v>4</v>
      </c>
      <c r="E21" s="1">
        <f t="shared" si="1"/>
        <v>160</v>
      </c>
    </row>
    <row r="22" spans="1:7" x14ac:dyDescent="0.25">
      <c r="A22" s="14" t="s">
        <v>118</v>
      </c>
      <c r="B22" s="3" t="s">
        <v>70</v>
      </c>
      <c r="C22" s="4">
        <v>2</v>
      </c>
      <c r="D22" s="4">
        <v>2</v>
      </c>
      <c r="E22" s="1">
        <f t="shared" si="1"/>
        <v>4</v>
      </c>
    </row>
    <row r="23" spans="1:7" x14ac:dyDescent="0.25">
      <c r="A23" s="14" t="s">
        <v>119</v>
      </c>
      <c r="B23" s="6" t="s">
        <v>71</v>
      </c>
      <c r="C23" s="1">
        <v>2</v>
      </c>
      <c r="D23" s="1">
        <v>2</v>
      </c>
      <c r="E23" s="1">
        <f t="shared" si="1"/>
        <v>4</v>
      </c>
    </row>
    <row r="24" spans="1:7" x14ac:dyDescent="0.25">
      <c r="A24" s="14" t="s">
        <v>120</v>
      </c>
      <c r="B24" t="s">
        <v>72</v>
      </c>
      <c r="C24">
        <v>2</v>
      </c>
      <c r="D24">
        <v>2</v>
      </c>
      <c r="E24" s="1">
        <f t="shared" si="1"/>
        <v>4</v>
      </c>
    </row>
    <row r="25" spans="1:7" ht="15.75" thickBot="1" x14ac:dyDescent="0.3">
      <c r="A25" s="14" t="s">
        <v>121</v>
      </c>
      <c r="B25" s="10" t="s">
        <v>73</v>
      </c>
      <c r="C25" s="9">
        <v>1</v>
      </c>
      <c r="D25" s="9">
        <v>2</v>
      </c>
      <c r="E25" s="1">
        <f t="shared" si="1"/>
        <v>2</v>
      </c>
    </row>
    <row r="26" spans="1:7" ht="15.75" thickTop="1" x14ac:dyDescent="0.25">
      <c r="A26" s="15"/>
      <c r="B26" s="8" t="s">
        <v>63</v>
      </c>
      <c r="C26" s="8">
        <f>SUM(C17:C25)</f>
        <v>107</v>
      </c>
      <c r="D26" s="8"/>
      <c r="E26" s="8">
        <f>SUM(E17:E25)</f>
        <v>234</v>
      </c>
      <c r="F26" s="25"/>
      <c r="G26" s="25">
        <f>'Končni obračun'!C15/'Obračun ur'!C89*Tabela2[[#This Row],[Skupaj ur]]</f>
        <v>32410.265011741023</v>
      </c>
    </row>
    <row r="28" spans="1:7" x14ac:dyDescent="0.25">
      <c r="A28" s="13" t="s">
        <v>122</v>
      </c>
      <c r="B28" s="7" t="s">
        <v>75</v>
      </c>
      <c r="C28" s="7" t="s">
        <v>74</v>
      </c>
      <c r="D28" s="7" t="s">
        <v>55</v>
      </c>
      <c r="E28" s="7" t="s">
        <v>56</v>
      </c>
    </row>
    <row r="29" spans="1:7" x14ac:dyDescent="0.25">
      <c r="A29" s="14" t="s">
        <v>123</v>
      </c>
      <c r="B29" s="6" t="s">
        <v>76</v>
      </c>
      <c r="C29" s="1">
        <v>5</v>
      </c>
      <c r="D29" s="1">
        <v>1</v>
      </c>
      <c r="E29" s="1">
        <f>D29*C29</f>
        <v>5</v>
      </c>
    </row>
    <row r="30" spans="1:7" x14ac:dyDescent="0.25">
      <c r="A30" s="14" t="s">
        <v>124</v>
      </c>
      <c r="B30" s="3" t="s">
        <v>77</v>
      </c>
      <c r="C30" s="2">
        <v>8</v>
      </c>
      <c r="D30" s="3">
        <v>1</v>
      </c>
      <c r="E30" s="1">
        <f t="shared" ref="E30:E37" si="2">D30*C30</f>
        <v>8</v>
      </c>
    </row>
    <row r="31" spans="1:7" x14ac:dyDescent="0.25">
      <c r="A31" s="14" t="s">
        <v>125</v>
      </c>
      <c r="B31" s="6" t="s">
        <v>78</v>
      </c>
      <c r="C31" s="1">
        <v>3</v>
      </c>
      <c r="D31" s="1">
        <v>1</v>
      </c>
      <c r="E31" s="1">
        <f t="shared" si="2"/>
        <v>3</v>
      </c>
    </row>
    <row r="32" spans="1:7" x14ac:dyDescent="0.25">
      <c r="A32" s="14" t="s">
        <v>126</v>
      </c>
      <c r="B32" s="3" t="s">
        <v>79</v>
      </c>
      <c r="C32" s="4">
        <v>5</v>
      </c>
      <c r="D32" s="4">
        <v>1</v>
      </c>
      <c r="E32" s="1">
        <f t="shared" si="2"/>
        <v>5</v>
      </c>
    </row>
    <row r="33" spans="1:7" x14ac:dyDescent="0.25">
      <c r="A33" s="14" t="s">
        <v>127</v>
      </c>
      <c r="B33" s="6" t="s">
        <v>80</v>
      </c>
      <c r="C33" s="5">
        <v>8</v>
      </c>
      <c r="D33" s="6">
        <v>3</v>
      </c>
      <c r="E33" s="1">
        <f t="shared" si="2"/>
        <v>24</v>
      </c>
    </row>
    <row r="34" spans="1:7" x14ac:dyDescent="0.25">
      <c r="A34" s="14" t="s">
        <v>128</v>
      </c>
      <c r="B34" s="3" t="s">
        <v>81</v>
      </c>
      <c r="C34" s="4">
        <v>8</v>
      </c>
      <c r="D34" s="4">
        <v>3</v>
      </c>
      <c r="E34" s="1">
        <f t="shared" si="2"/>
        <v>24</v>
      </c>
    </row>
    <row r="35" spans="1:7" x14ac:dyDescent="0.25">
      <c r="A35" s="14" t="s">
        <v>129</v>
      </c>
      <c r="B35" s="6" t="s">
        <v>82</v>
      </c>
      <c r="C35" s="1">
        <v>1</v>
      </c>
      <c r="D35" s="1">
        <v>2</v>
      </c>
      <c r="E35" s="1">
        <f t="shared" si="2"/>
        <v>2</v>
      </c>
    </row>
    <row r="36" spans="1:7" x14ac:dyDescent="0.25">
      <c r="A36" s="14" t="s">
        <v>130</v>
      </c>
      <c r="B36" t="s">
        <v>83</v>
      </c>
      <c r="C36">
        <v>2</v>
      </c>
      <c r="D36">
        <v>2</v>
      </c>
      <c r="E36" s="1">
        <f t="shared" si="2"/>
        <v>4</v>
      </c>
    </row>
    <row r="37" spans="1:7" ht="15.75" thickBot="1" x14ac:dyDescent="0.3">
      <c r="A37" s="14" t="s">
        <v>131</v>
      </c>
      <c r="B37" s="10" t="s">
        <v>84</v>
      </c>
      <c r="C37" s="9">
        <v>1</v>
      </c>
      <c r="D37" s="9">
        <v>2</v>
      </c>
      <c r="E37" s="1">
        <f t="shared" si="2"/>
        <v>2</v>
      </c>
    </row>
    <row r="38" spans="1:7" ht="15.75" thickTop="1" x14ac:dyDescent="0.25">
      <c r="A38" s="15"/>
      <c r="B38" s="8" t="s">
        <v>63</v>
      </c>
      <c r="C38" s="8">
        <f>SUM(C29:C37)</f>
        <v>41</v>
      </c>
      <c r="D38" s="8"/>
      <c r="E38" s="8">
        <f>SUM(E29:E37)</f>
        <v>77</v>
      </c>
      <c r="G38" s="25">
        <f>'Končni obračun'!C15/C89*Tabela25[[#This Row],[Skupaj ur]]</f>
        <v>10664.916264547261</v>
      </c>
    </row>
    <row r="41" spans="1:7" x14ac:dyDescent="0.25">
      <c r="A41" s="13" t="s">
        <v>132</v>
      </c>
      <c r="B41" s="7" t="s">
        <v>85</v>
      </c>
      <c r="C41" s="7" t="s">
        <v>74</v>
      </c>
      <c r="D41" s="7" t="s">
        <v>55</v>
      </c>
      <c r="E41" s="7" t="s">
        <v>56</v>
      </c>
    </row>
    <row r="42" spans="1:7" x14ac:dyDescent="0.25">
      <c r="A42" s="14" t="s">
        <v>133</v>
      </c>
      <c r="B42" s="6" t="s">
        <v>86</v>
      </c>
      <c r="C42" s="1">
        <v>200</v>
      </c>
      <c r="D42" s="1">
        <v>7</v>
      </c>
      <c r="E42" s="1">
        <f>D42*C42</f>
        <v>1400</v>
      </c>
    </row>
    <row r="43" spans="1:7" x14ac:dyDescent="0.25">
      <c r="A43" s="14" t="s">
        <v>134</v>
      </c>
      <c r="B43" s="3" t="s">
        <v>87</v>
      </c>
      <c r="C43" s="2">
        <v>8</v>
      </c>
      <c r="D43" s="3">
        <v>5</v>
      </c>
      <c r="E43" s="1">
        <f>D43*C43</f>
        <v>40</v>
      </c>
    </row>
    <row r="44" spans="1:7" x14ac:dyDescent="0.25">
      <c r="A44" s="14" t="s">
        <v>135</v>
      </c>
      <c r="B44" s="6" t="s">
        <v>88</v>
      </c>
      <c r="C44" s="1">
        <v>20</v>
      </c>
      <c r="D44" s="1">
        <v>1</v>
      </c>
      <c r="E44" s="1">
        <f>D44*C44</f>
        <v>20</v>
      </c>
    </row>
    <row r="45" spans="1:7" x14ac:dyDescent="0.25">
      <c r="A45" s="14" t="s">
        <v>136</v>
      </c>
      <c r="B45" s="3" t="s">
        <v>89</v>
      </c>
      <c r="C45" s="4">
        <v>40</v>
      </c>
      <c r="D45" s="4">
        <v>2</v>
      </c>
      <c r="E45" s="1">
        <f>D45*C45</f>
        <v>80</v>
      </c>
    </row>
    <row r="46" spans="1:7" ht="15.75" thickBot="1" x14ac:dyDescent="0.3">
      <c r="A46" s="14" t="s">
        <v>137</v>
      </c>
      <c r="B46" s="6" t="s">
        <v>90</v>
      </c>
      <c r="C46" s="5">
        <v>5</v>
      </c>
      <c r="D46" s="6">
        <v>2</v>
      </c>
      <c r="E46" s="1">
        <f>D46*C46</f>
        <v>10</v>
      </c>
    </row>
    <row r="47" spans="1:7" ht="15.75" thickTop="1" x14ac:dyDescent="0.25">
      <c r="A47" s="15"/>
      <c r="B47" s="8" t="s">
        <v>63</v>
      </c>
      <c r="C47" s="8">
        <f>SUM(C42:C46)</f>
        <v>273</v>
      </c>
      <c r="D47" s="8"/>
      <c r="E47" s="8">
        <f>SUM(E42:E46)</f>
        <v>1550</v>
      </c>
      <c r="G47" s="25">
        <f>'Končni obračun'!C15/C89*Tabela2510[[#This Row],[Skupaj ur]]</f>
        <v>214683.379351276</v>
      </c>
    </row>
    <row r="50" spans="1:7" x14ac:dyDescent="0.25">
      <c r="A50" s="13" t="s">
        <v>138</v>
      </c>
      <c r="B50" s="7" t="s">
        <v>91</v>
      </c>
      <c r="C50" s="7" t="s">
        <v>74</v>
      </c>
      <c r="D50" s="7" t="s">
        <v>55</v>
      </c>
      <c r="E50" s="7" t="s">
        <v>56</v>
      </c>
    </row>
    <row r="51" spans="1:7" x14ac:dyDescent="0.25">
      <c r="A51" s="14" t="s">
        <v>139</v>
      </c>
      <c r="B51" s="6" t="s">
        <v>87</v>
      </c>
      <c r="C51" s="1">
        <v>8</v>
      </c>
      <c r="D51" s="1">
        <v>5</v>
      </c>
      <c r="E51" s="1">
        <f>D51*C51</f>
        <v>40</v>
      </c>
    </row>
    <row r="52" spans="1:7" x14ac:dyDescent="0.25">
      <c r="A52" s="14" t="s">
        <v>140</v>
      </c>
      <c r="B52" s="3" t="s">
        <v>92</v>
      </c>
      <c r="C52" s="2">
        <v>10</v>
      </c>
      <c r="D52" s="3">
        <v>3</v>
      </c>
      <c r="E52" s="1">
        <f>D52*C52</f>
        <v>30</v>
      </c>
    </row>
    <row r="53" spans="1:7" ht="15.75" thickBot="1" x14ac:dyDescent="0.3">
      <c r="A53" s="14" t="s">
        <v>141</v>
      </c>
      <c r="B53" s="6" t="s">
        <v>93</v>
      </c>
      <c r="C53" s="1">
        <v>40</v>
      </c>
      <c r="D53" s="1">
        <v>3</v>
      </c>
      <c r="E53" s="1">
        <f>D53*C53</f>
        <v>120</v>
      </c>
    </row>
    <row r="54" spans="1:7" ht="15.75" thickTop="1" x14ac:dyDescent="0.25">
      <c r="A54" s="15"/>
      <c r="B54" s="8" t="s">
        <v>63</v>
      </c>
      <c r="C54" s="8">
        <f>SUM(C51:C53)</f>
        <v>58</v>
      </c>
      <c r="D54" s="8"/>
      <c r="E54" s="8">
        <f>SUM(E51:E53)</f>
        <v>190</v>
      </c>
      <c r="G54" s="25">
        <f>'Končni obračun'!C15/C89*Tabela251011[[#This Row],[Skupaj ur]]</f>
        <v>26316.027146285447</v>
      </c>
    </row>
    <row r="57" spans="1:7" x14ac:dyDescent="0.25">
      <c r="A57" s="13" t="s">
        <v>142</v>
      </c>
      <c r="B57" s="7" t="s">
        <v>94</v>
      </c>
      <c r="C57" s="7" t="s">
        <v>74</v>
      </c>
      <c r="D57" s="7" t="s">
        <v>55</v>
      </c>
      <c r="E57" s="7" t="s">
        <v>56</v>
      </c>
    </row>
    <row r="58" spans="1:7" x14ac:dyDescent="0.25">
      <c r="A58" s="14" t="s">
        <v>143</v>
      </c>
      <c r="B58" s="6" t="s">
        <v>95</v>
      </c>
      <c r="C58" s="1">
        <v>3</v>
      </c>
      <c r="D58" s="1">
        <v>2</v>
      </c>
      <c r="E58" s="1">
        <f>D58*C58</f>
        <v>6</v>
      </c>
    </row>
    <row r="59" spans="1:7" x14ac:dyDescent="0.25">
      <c r="A59" s="14" t="s">
        <v>144</v>
      </c>
      <c r="B59" s="3" t="s">
        <v>96</v>
      </c>
      <c r="C59" s="2">
        <v>24</v>
      </c>
      <c r="D59" s="3">
        <v>3</v>
      </c>
      <c r="E59" s="1">
        <f>D59*C59</f>
        <v>72</v>
      </c>
    </row>
    <row r="60" spans="1:7" ht="15.75" thickBot="1" x14ac:dyDescent="0.3">
      <c r="A60" s="14" t="s">
        <v>145</v>
      </c>
      <c r="B60" s="6" t="s">
        <v>97</v>
      </c>
      <c r="C60" s="1">
        <v>8</v>
      </c>
      <c r="D60" s="1">
        <v>3</v>
      </c>
      <c r="E60" s="1">
        <f>D60*C60</f>
        <v>24</v>
      </c>
    </row>
    <row r="61" spans="1:7" ht="15.75" thickTop="1" x14ac:dyDescent="0.25">
      <c r="A61" s="15"/>
      <c r="B61" s="8" t="s">
        <v>63</v>
      </c>
      <c r="C61" s="8">
        <f>SUM(C58:C60)</f>
        <v>35</v>
      </c>
      <c r="D61" s="8"/>
      <c r="E61" s="8">
        <f>SUM(E58:E60)</f>
        <v>102</v>
      </c>
      <c r="G61" s="25">
        <f>'Končni obračun'!C15/C89*Tabela25101112[[#This Row],[Skupaj ur]]</f>
        <v>14127.551415374293</v>
      </c>
    </row>
    <row r="64" spans="1:7" x14ac:dyDescent="0.25">
      <c r="A64" s="13" t="s">
        <v>146</v>
      </c>
      <c r="B64" s="7" t="s">
        <v>98</v>
      </c>
      <c r="C64" s="7" t="s">
        <v>74</v>
      </c>
      <c r="D64" s="7" t="s">
        <v>55</v>
      </c>
      <c r="E64" s="7" t="s">
        <v>56</v>
      </c>
    </row>
    <row r="65" spans="1:7" x14ac:dyDescent="0.25">
      <c r="A65" s="14" t="s">
        <v>147</v>
      </c>
      <c r="B65" s="6" t="s">
        <v>99</v>
      </c>
      <c r="C65" s="1">
        <v>4</v>
      </c>
      <c r="D65" s="1">
        <v>3</v>
      </c>
      <c r="E65" s="1">
        <f t="shared" ref="E65:E70" si="3">D65*C65</f>
        <v>12</v>
      </c>
    </row>
    <row r="66" spans="1:7" x14ac:dyDescent="0.25">
      <c r="A66" s="14" t="s">
        <v>148</v>
      </c>
      <c r="B66" s="3" t="s">
        <v>100</v>
      </c>
      <c r="C66" s="2">
        <v>24</v>
      </c>
      <c r="D66" s="3">
        <v>3</v>
      </c>
      <c r="E66" s="1">
        <f t="shared" si="3"/>
        <v>72</v>
      </c>
    </row>
    <row r="67" spans="1:7" x14ac:dyDescent="0.25">
      <c r="A67" s="14" t="s">
        <v>149</v>
      </c>
      <c r="B67" s="6" t="s">
        <v>93</v>
      </c>
      <c r="C67" s="1">
        <v>20</v>
      </c>
      <c r="D67" s="1">
        <v>3</v>
      </c>
      <c r="E67" s="1">
        <f t="shared" si="3"/>
        <v>60</v>
      </c>
    </row>
    <row r="68" spans="1:7" x14ac:dyDescent="0.25">
      <c r="A68" s="14" t="s">
        <v>150</v>
      </c>
      <c r="B68" s="3" t="s">
        <v>101</v>
      </c>
      <c r="C68" s="4">
        <v>16</v>
      </c>
      <c r="D68" s="4">
        <v>4</v>
      </c>
      <c r="E68" s="1">
        <f t="shared" si="3"/>
        <v>64</v>
      </c>
    </row>
    <row r="69" spans="1:7" x14ac:dyDescent="0.25">
      <c r="A69" s="14" t="s">
        <v>151</v>
      </c>
      <c r="B69" s="6" t="s">
        <v>102</v>
      </c>
      <c r="C69" s="5">
        <v>100</v>
      </c>
      <c r="D69" s="6">
        <v>2</v>
      </c>
      <c r="E69" s="1">
        <f t="shared" si="3"/>
        <v>200</v>
      </c>
    </row>
    <row r="70" spans="1:7" ht="15.75" thickBot="1" x14ac:dyDescent="0.3">
      <c r="A70" s="14" t="s">
        <v>152</v>
      </c>
      <c r="B70" s="3" t="s">
        <v>103</v>
      </c>
      <c r="C70" s="4">
        <v>3</v>
      </c>
      <c r="D70" s="4">
        <v>3</v>
      </c>
      <c r="E70" s="1">
        <f t="shared" si="3"/>
        <v>9</v>
      </c>
    </row>
    <row r="71" spans="1:7" ht="15.75" thickTop="1" x14ac:dyDescent="0.25">
      <c r="A71" s="15"/>
      <c r="B71" t="s">
        <v>63</v>
      </c>
      <c r="C71">
        <f>SUM(C65:C70)</f>
        <v>167</v>
      </c>
      <c r="E71">
        <f>SUM(E65:E70)</f>
        <v>417</v>
      </c>
      <c r="G71" s="25">
        <f>'Končni obračun'!C15/C89*Tabela2513[[#This Row],[Skupaj ur]]</f>
        <v>57756.754315794904</v>
      </c>
    </row>
    <row r="73" spans="1:7" x14ac:dyDescent="0.25">
      <c r="A73" s="13" t="s">
        <v>153</v>
      </c>
      <c r="B73" s="7" t="s">
        <v>160</v>
      </c>
      <c r="C73" s="7" t="s">
        <v>74</v>
      </c>
      <c r="D73" s="7" t="s">
        <v>55</v>
      </c>
      <c r="E73" s="7" t="s">
        <v>56</v>
      </c>
    </row>
    <row r="74" spans="1:7" x14ac:dyDescent="0.25">
      <c r="A74" s="14" t="s">
        <v>154</v>
      </c>
      <c r="B74" s="6" t="s">
        <v>102</v>
      </c>
      <c r="C74" s="1">
        <v>100</v>
      </c>
      <c r="D74" s="1">
        <v>2</v>
      </c>
      <c r="E74" s="1">
        <f>D74*C74</f>
        <v>200</v>
      </c>
    </row>
    <row r="75" spans="1:7" ht="15.75" thickBot="1" x14ac:dyDescent="0.3">
      <c r="A75" s="14" t="s">
        <v>155</v>
      </c>
      <c r="B75" s="3" t="s">
        <v>156</v>
      </c>
      <c r="C75" s="2">
        <v>100</v>
      </c>
      <c r="D75" s="3">
        <v>1</v>
      </c>
      <c r="E75" s="1">
        <f>D75*C75</f>
        <v>100</v>
      </c>
    </row>
    <row r="76" spans="1:7" ht="15.75" thickTop="1" x14ac:dyDescent="0.25">
      <c r="A76" s="15"/>
      <c r="B76" t="s">
        <v>63</v>
      </c>
      <c r="C76">
        <f>SUM(C74:C75)</f>
        <v>200</v>
      </c>
      <c r="E76">
        <f>SUM(E74:E75)</f>
        <v>300</v>
      </c>
      <c r="G76" s="25">
        <f>'Končni obračun'!C15/C89*Tabela2510111214[[#This Row],[Skupaj ur]]</f>
        <v>41551.621809924392</v>
      </c>
    </row>
    <row r="80" spans="1:7" x14ac:dyDescent="0.25">
      <c r="A80" s="13"/>
      <c r="B80" s="7" t="s">
        <v>64</v>
      </c>
      <c r="C80" s="7" t="s">
        <v>56</v>
      </c>
      <c r="D80" s="7" t="s">
        <v>184</v>
      </c>
    </row>
    <row r="81" spans="1:4" x14ac:dyDescent="0.25">
      <c r="A81" s="14" t="s">
        <v>157</v>
      </c>
      <c r="B81" s="6" t="s">
        <v>54</v>
      </c>
      <c r="C81" s="1">
        <f>E13</f>
        <v>111</v>
      </c>
      <c r="D81" s="10" t="s">
        <v>185</v>
      </c>
    </row>
    <row r="82" spans="1:4" x14ac:dyDescent="0.25">
      <c r="A82" s="14" t="s">
        <v>112</v>
      </c>
      <c r="B82" s="3" t="s">
        <v>64</v>
      </c>
      <c r="C82" s="1">
        <f>E26</f>
        <v>234</v>
      </c>
      <c r="D82" t="s">
        <v>186</v>
      </c>
    </row>
    <row r="83" spans="1:4" x14ac:dyDescent="0.25">
      <c r="A83" s="14" t="s">
        <v>122</v>
      </c>
      <c r="B83" s="6" t="s">
        <v>75</v>
      </c>
      <c r="C83" s="1">
        <f>E38</f>
        <v>77</v>
      </c>
      <c r="D83" s="10" t="s">
        <v>185</v>
      </c>
    </row>
    <row r="84" spans="1:4" x14ac:dyDescent="0.25">
      <c r="A84" s="14" t="s">
        <v>132</v>
      </c>
      <c r="B84" s="3" t="s">
        <v>85</v>
      </c>
      <c r="C84" s="1">
        <f>E47</f>
        <v>1550</v>
      </c>
      <c r="D84" t="s">
        <v>201</v>
      </c>
    </row>
    <row r="85" spans="1:4" x14ac:dyDescent="0.25">
      <c r="A85" s="14" t="s">
        <v>138</v>
      </c>
      <c r="B85" s="6" t="s">
        <v>91</v>
      </c>
      <c r="C85" s="1">
        <f>E54</f>
        <v>190</v>
      </c>
      <c r="D85" s="9">
        <v>2</v>
      </c>
    </row>
    <row r="86" spans="1:4" x14ac:dyDescent="0.25">
      <c r="A86" s="14" t="s">
        <v>142</v>
      </c>
      <c r="B86" s="3" t="s">
        <v>158</v>
      </c>
      <c r="C86" s="1">
        <f>E61</f>
        <v>102</v>
      </c>
      <c r="D86">
        <v>1</v>
      </c>
    </row>
    <row r="87" spans="1:4" x14ac:dyDescent="0.25">
      <c r="A87" s="14" t="s">
        <v>146</v>
      </c>
      <c r="B87" s="6" t="s">
        <v>159</v>
      </c>
      <c r="C87" s="1">
        <f>E71</f>
        <v>417</v>
      </c>
      <c r="D87" s="9">
        <v>4</v>
      </c>
    </row>
    <row r="88" spans="1:4" ht="15.75" thickBot="1" x14ac:dyDescent="0.3">
      <c r="A88" s="14" t="s">
        <v>153</v>
      </c>
      <c r="B88" t="s">
        <v>160</v>
      </c>
      <c r="C88" s="1">
        <f>E76</f>
        <v>300</v>
      </c>
    </row>
    <row r="89" spans="1:4" ht="15.75" thickTop="1" x14ac:dyDescent="0.25">
      <c r="A89" s="15"/>
      <c r="B89" s="26" t="s">
        <v>63</v>
      </c>
      <c r="C89" s="26">
        <f>SUM(C81:C88)</f>
        <v>2981</v>
      </c>
      <c r="D89" s="10" t="s">
        <v>202</v>
      </c>
    </row>
  </sheetData>
  <mergeCells count="3">
    <mergeCell ref="A1:E1"/>
    <mergeCell ref="A2:E2"/>
    <mergeCell ref="A3:E3"/>
  </mergeCells>
  <pageMargins left="0.7" right="0.7" top="0.75" bottom="0.75" header="0.3" footer="0.3"/>
  <pageSetup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58EB7-55FF-4AA8-BE18-1399E2DFC610}">
  <dimension ref="A1:F26"/>
  <sheetViews>
    <sheetView workbookViewId="0">
      <selection activeCell="B56" sqref="B56"/>
    </sheetView>
  </sheetViews>
  <sheetFormatPr defaultRowHeight="15" x14ac:dyDescent="0.25"/>
  <cols>
    <col min="1" max="1" width="3.5703125" style="12" bestFit="1" customWidth="1"/>
    <col min="2" max="2" width="58.42578125" customWidth="1"/>
    <col min="3" max="3" width="31.140625" bestFit="1" customWidth="1"/>
    <col min="4" max="4" width="19.28515625" customWidth="1"/>
    <col min="5" max="5" width="19.7109375" bestFit="1" customWidth="1"/>
    <col min="6" max="6" width="18.28515625" customWidth="1"/>
  </cols>
  <sheetData>
    <row r="1" spans="1:5" ht="19.5" x14ac:dyDescent="0.25">
      <c r="A1" s="27" t="s">
        <v>52</v>
      </c>
      <c r="B1" s="27"/>
      <c r="C1" s="27"/>
      <c r="D1" s="27"/>
      <c r="E1" s="27"/>
    </row>
    <row r="2" spans="1:5" ht="17.25" x14ac:dyDescent="0.25">
      <c r="A2" s="28" t="s">
        <v>170</v>
      </c>
      <c r="B2" s="28"/>
      <c r="C2" s="28"/>
      <c r="D2" s="28"/>
      <c r="E2" s="28"/>
    </row>
    <row r="3" spans="1:5" x14ac:dyDescent="0.25">
      <c r="A3" s="29">
        <v>43811</v>
      </c>
      <c r="B3" s="29"/>
      <c r="C3" s="29"/>
      <c r="D3" s="29"/>
      <c r="E3" s="29"/>
    </row>
    <row r="6" spans="1:5" x14ac:dyDescent="0.25">
      <c r="A6" s="13"/>
      <c r="B6" s="7" t="s">
        <v>172</v>
      </c>
      <c r="C6" s="7" t="s">
        <v>161</v>
      </c>
      <c r="D6" s="7" t="s">
        <v>55</v>
      </c>
      <c r="E6" s="7" t="s">
        <v>162</v>
      </c>
    </row>
    <row r="7" spans="1:5" x14ac:dyDescent="0.25">
      <c r="A7" s="14"/>
      <c r="B7" s="6" t="s">
        <v>163</v>
      </c>
      <c r="C7" s="17">
        <v>5800</v>
      </c>
      <c r="D7" s="1">
        <v>1</v>
      </c>
      <c r="E7" s="17">
        <f>D7*C7</f>
        <v>5800</v>
      </c>
    </row>
    <row r="8" spans="1:5" x14ac:dyDescent="0.25">
      <c r="A8" s="14"/>
      <c r="B8" s="3" t="s">
        <v>164</v>
      </c>
      <c r="C8" s="18">
        <v>5500</v>
      </c>
      <c r="D8" s="3">
        <v>1</v>
      </c>
      <c r="E8" s="17">
        <f t="shared" ref="E8:E13" si="0">D8*C8</f>
        <v>5500</v>
      </c>
    </row>
    <row r="9" spans="1:5" x14ac:dyDescent="0.25">
      <c r="A9" s="14"/>
      <c r="B9" s="6" t="s">
        <v>166</v>
      </c>
      <c r="C9" s="17">
        <v>4000</v>
      </c>
      <c r="D9" s="1">
        <v>3</v>
      </c>
      <c r="E9" s="17">
        <f t="shared" si="0"/>
        <v>12000</v>
      </c>
    </row>
    <row r="10" spans="1:5" x14ac:dyDescent="0.25">
      <c r="A10" s="14"/>
      <c r="B10" s="3" t="s">
        <v>167</v>
      </c>
      <c r="C10" s="19">
        <v>3700</v>
      </c>
      <c r="D10" s="4">
        <v>1</v>
      </c>
      <c r="E10" s="17">
        <f t="shared" si="0"/>
        <v>3700</v>
      </c>
    </row>
    <row r="11" spans="1:5" x14ac:dyDescent="0.25">
      <c r="A11" s="14"/>
      <c r="B11" s="6" t="s">
        <v>165</v>
      </c>
      <c r="C11" s="20">
        <v>3400</v>
      </c>
      <c r="D11" s="6">
        <v>5</v>
      </c>
      <c r="E11" s="17">
        <f t="shared" si="0"/>
        <v>17000</v>
      </c>
    </row>
    <row r="12" spans="1:5" x14ac:dyDescent="0.25">
      <c r="A12" s="14"/>
      <c r="B12" s="3" t="s">
        <v>168</v>
      </c>
      <c r="C12" s="19">
        <v>4000</v>
      </c>
      <c r="D12" s="4">
        <v>2</v>
      </c>
      <c r="E12" s="17">
        <f t="shared" si="0"/>
        <v>8000</v>
      </c>
    </row>
    <row r="13" spans="1:5" ht="15.75" thickBot="1" x14ac:dyDescent="0.3">
      <c r="A13" s="14"/>
      <c r="B13" s="6" t="s">
        <v>169</v>
      </c>
      <c r="C13" s="17">
        <v>1800</v>
      </c>
      <c r="D13" s="1">
        <v>2</v>
      </c>
      <c r="E13" s="17">
        <f t="shared" si="0"/>
        <v>3600</v>
      </c>
    </row>
    <row r="14" spans="1:5" ht="15.75" thickTop="1" x14ac:dyDescent="0.25">
      <c r="A14" s="15"/>
      <c r="B14" s="8" t="s">
        <v>171</v>
      </c>
      <c r="C14" s="8"/>
      <c r="D14" s="8">
        <f>SUM(D7:D13)</f>
        <v>15</v>
      </c>
      <c r="E14" s="21">
        <f>SUM(E7:E13)</f>
        <v>55600</v>
      </c>
    </row>
    <row r="17" spans="1:6" x14ac:dyDescent="0.25">
      <c r="A17" s="13"/>
      <c r="B17" s="7" t="s">
        <v>172</v>
      </c>
      <c r="C17" s="7" t="s">
        <v>181</v>
      </c>
      <c r="D17" s="16" t="s">
        <v>173</v>
      </c>
      <c r="E17" s="16" t="s">
        <v>55</v>
      </c>
      <c r="F17" s="16" t="s">
        <v>175</v>
      </c>
    </row>
    <row r="18" spans="1:6" x14ac:dyDescent="0.25">
      <c r="A18" s="14"/>
      <c r="B18" s="6" t="s">
        <v>174</v>
      </c>
      <c r="C18" s="17">
        <v>1500</v>
      </c>
      <c r="D18" s="1">
        <v>1</v>
      </c>
      <c r="E18" s="22">
        <v>13</v>
      </c>
      <c r="F18" s="24">
        <f>Tabela21625[[#This Row],[Število zaposlenih]]*Tabela21625[[#This Row],[Strošek]]/Tabela21625[[#This Row],[Doba (v letih)]]</f>
        <v>19500</v>
      </c>
    </row>
    <row r="19" spans="1:6" x14ac:dyDescent="0.25">
      <c r="A19" s="14"/>
      <c r="B19" s="3" t="s">
        <v>176</v>
      </c>
      <c r="C19" s="18">
        <v>3500</v>
      </c>
      <c r="D19" s="3">
        <v>3</v>
      </c>
      <c r="E19" s="22">
        <v>13</v>
      </c>
      <c r="F19" s="25">
        <f>Tabela21625[[#This Row],[Število zaposlenih]]*Tabela21625[[#This Row],[Strošek]]/Tabela21625[[#This Row],[Doba (v letih)]]</f>
        <v>15166.666666666666</v>
      </c>
    </row>
    <row r="20" spans="1:6" x14ac:dyDescent="0.25">
      <c r="A20" s="14"/>
      <c r="B20" s="6" t="s">
        <v>177</v>
      </c>
      <c r="C20" s="17">
        <v>1500</v>
      </c>
      <c r="D20" s="1">
        <v>5</v>
      </c>
      <c r="E20" s="22">
        <v>2</v>
      </c>
      <c r="F20" s="24">
        <f>Tabela21625[[#This Row],[Število zaposlenih]]*Tabela21625[[#This Row],[Strošek]]/Tabela21625[[#This Row],[Doba (v letih)]]</f>
        <v>600</v>
      </c>
    </row>
    <row r="21" spans="1:6" x14ac:dyDescent="0.25">
      <c r="A21" s="14"/>
      <c r="B21" s="3" t="s">
        <v>182</v>
      </c>
      <c r="C21" s="19">
        <v>15000</v>
      </c>
      <c r="D21" s="4">
        <v>15</v>
      </c>
      <c r="E21" s="22">
        <v>1</v>
      </c>
      <c r="F21" s="25">
        <f>Tabela21625[[#This Row],[Število zaposlenih]]*Tabela21625[[#This Row],[Strošek]]/Tabela21625[[#This Row],[Doba (v letih)]]</f>
        <v>1000</v>
      </c>
    </row>
    <row r="22" spans="1:6" x14ac:dyDescent="0.25">
      <c r="A22" s="14"/>
      <c r="B22" s="6" t="s">
        <v>179</v>
      </c>
      <c r="C22" s="20">
        <v>7200</v>
      </c>
      <c r="D22" s="6">
        <v>1</v>
      </c>
      <c r="E22" s="22">
        <v>1</v>
      </c>
      <c r="F22" s="24">
        <f>Tabela21625[[#This Row],[Število zaposlenih]]*Tabela21625[[#This Row],[Strošek]]/Tabela21625[[#This Row],[Doba (v letih)]]</f>
        <v>7200</v>
      </c>
    </row>
    <row r="23" spans="1:6" x14ac:dyDescent="0.25">
      <c r="A23" s="14"/>
      <c r="B23" s="3" t="s">
        <v>178</v>
      </c>
      <c r="C23" s="19">
        <f>E14*12</f>
        <v>667200</v>
      </c>
      <c r="D23" s="4">
        <v>1</v>
      </c>
      <c r="E23" s="22">
        <v>1</v>
      </c>
      <c r="F23" s="25">
        <f>Tabela21625[[#This Row],[Število zaposlenih]]*Tabela21625[[#This Row],[Strošek]]/Tabela21625[[#This Row],[Doba (v letih)]]</f>
        <v>667200</v>
      </c>
    </row>
    <row r="24" spans="1:6" ht="15.75" thickBot="1" x14ac:dyDescent="0.3">
      <c r="A24" s="14"/>
      <c r="B24" s="6" t="s">
        <v>180</v>
      </c>
      <c r="C24" s="17">
        <v>5000</v>
      </c>
      <c r="D24" s="1">
        <v>1</v>
      </c>
      <c r="E24" s="22">
        <v>1</v>
      </c>
      <c r="F24" s="24">
        <f>Tabela21625[[#This Row],[Število zaposlenih]]*Tabela21625[[#This Row],[Strošek]]/Tabela21625[[#This Row],[Doba (v letih)]]</f>
        <v>5000</v>
      </c>
    </row>
    <row r="25" spans="1:6" ht="16.5" thickTop="1" thickBot="1" x14ac:dyDescent="0.3">
      <c r="A25" s="15"/>
      <c r="B25" s="8" t="s">
        <v>183</v>
      </c>
      <c r="C25" s="8"/>
      <c r="D25" s="8"/>
      <c r="E25" s="23"/>
      <c r="F25" s="25">
        <f>SUM(F18:F24)</f>
        <v>715666.66666666663</v>
      </c>
    </row>
    <row r="26" spans="1:6" ht="15.75" thickTop="1" x14ac:dyDescent="0.25">
      <c r="A26" s="15"/>
    </row>
  </sheetData>
  <mergeCells count="3">
    <mergeCell ref="A1:E1"/>
    <mergeCell ref="A2:E2"/>
    <mergeCell ref="A3:E3"/>
  </mergeCell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02CF2-0D35-479C-A437-0F743206580D}">
  <dimension ref="A1:E21"/>
  <sheetViews>
    <sheetView tabSelected="1" workbookViewId="0">
      <selection activeCell="D7" sqref="D7"/>
    </sheetView>
  </sheetViews>
  <sheetFormatPr defaultRowHeight="15" x14ac:dyDescent="0.25"/>
  <cols>
    <col min="1" max="1" width="3.5703125" style="12" bestFit="1" customWidth="1"/>
    <col min="2" max="2" width="58.42578125" customWidth="1"/>
    <col min="3" max="3" width="31.140625" bestFit="1" customWidth="1"/>
    <col min="4" max="4" width="19.28515625" customWidth="1"/>
    <col min="5" max="5" width="19.7109375" bestFit="1" customWidth="1"/>
    <col min="6" max="6" width="18.28515625" customWidth="1"/>
  </cols>
  <sheetData>
    <row r="1" spans="1:5" ht="19.5" x14ac:dyDescent="0.25">
      <c r="A1" s="27" t="s">
        <v>52</v>
      </c>
      <c r="B1" s="27"/>
      <c r="C1" s="27"/>
      <c r="D1" s="27"/>
      <c r="E1" s="27"/>
    </row>
    <row r="2" spans="1:5" ht="17.25" x14ac:dyDescent="0.25">
      <c r="A2" s="28" t="s">
        <v>187</v>
      </c>
      <c r="B2" s="28"/>
      <c r="C2" s="28"/>
      <c r="D2" s="28"/>
      <c r="E2" s="28"/>
    </row>
    <row r="3" spans="1:5" x14ac:dyDescent="0.25">
      <c r="A3" s="29">
        <v>43811</v>
      </c>
      <c r="B3" s="29"/>
      <c r="C3" s="29"/>
      <c r="D3" s="29"/>
      <c r="E3" s="29"/>
    </row>
    <row r="6" spans="1:5" x14ac:dyDescent="0.25">
      <c r="A6" s="13"/>
      <c r="B6" s="7" t="s">
        <v>192</v>
      </c>
      <c r="C6" s="7" t="s">
        <v>104</v>
      </c>
      <c r="D6" s="16" t="s">
        <v>105</v>
      </c>
    </row>
    <row r="7" spans="1:5" x14ac:dyDescent="0.25">
      <c r="A7" s="14"/>
      <c r="B7" s="6" t="s">
        <v>190</v>
      </c>
      <c r="C7" s="22">
        <v>25</v>
      </c>
      <c r="D7" s="25"/>
    </row>
    <row r="8" spans="1:5" ht="15.75" thickBot="1" x14ac:dyDescent="0.3">
      <c r="A8" s="14"/>
      <c r="B8" s="3" t="s">
        <v>188</v>
      </c>
      <c r="C8" s="18">
        <f>'Obračun plač'!F25</f>
        <v>715666.66666666663</v>
      </c>
      <c r="D8" s="25"/>
    </row>
    <row r="9" spans="1:5" ht="15.75" thickTop="1" x14ac:dyDescent="0.25">
      <c r="A9" s="15"/>
      <c r="B9" s="8" t="s">
        <v>189</v>
      </c>
      <c r="C9" s="21">
        <f>C8/52*C7</f>
        <v>344070.51282051281</v>
      </c>
      <c r="D9" s="25">
        <f>Tabela21726[[#This Row],[Postavka]]/C7/5</f>
        <v>2752.5641025641025</v>
      </c>
    </row>
    <row r="12" spans="1:5" x14ac:dyDescent="0.25">
      <c r="A12" s="13"/>
      <c r="B12" s="7" t="s">
        <v>191</v>
      </c>
      <c r="C12" s="7" t="s">
        <v>104</v>
      </c>
      <c r="D12" s="16" t="s">
        <v>193</v>
      </c>
    </row>
    <row r="13" spans="1:5" x14ac:dyDescent="0.25">
      <c r="A13" s="14"/>
      <c r="B13" s="6" t="s">
        <v>194</v>
      </c>
      <c r="C13" s="17">
        <f>C9</f>
        <v>344070.51282051281</v>
      </c>
      <c r="D13" s="24"/>
    </row>
    <row r="14" spans="1:5" x14ac:dyDescent="0.25">
      <c r="A14" s="14"/>
      <c r="B14" s="3" t="s">
        <v>195</v>
      </c>
      <c r="C14" s="18">
        <f>C13*1.1</f>
        <v>378477.56410256412</v>
      </c>
      <c r="D14" s="25"/>
    </row>
    <row r="15" spans="1:5" ht="15.75" thickBot="1" x14ac:dyDescent="0.3">
      <c r="A15" s="14"/>
      <c r="B15" s="6" t="s">
        <v>196</v>
      </c>
      <c r="C15" s="17">
        <f>C13*1.2</f>
        <v>412884.61538461538</v>
      </c>
      <c r="D15" s="24">
        <f>Tabela2162527[[#This Row],[Postavka]]-C14</f>
        <v>34407.051282051252</v>
      </c>
    </row>
    <row r="16" spans="1:5" ht="15.75" thickTop="1" x14ac:dyDescent="0.25">
      <c r="A16" s="15"/>
      <c r="B16" s="8"/>
      <c r="C16" s="8"/>
    </row>
    <row r="20" spans="2:3" x14ac:dyDescent="0.25">
      <c r="B20" t="s">
        <v>199</v>
      </c>
      <c r="C20" s="25">
        <f>C9/C7/5</f>
        <v>2752.5641025641025</v>
      </c>
    </row>
    <row r="21" spans="2:3" x14ac:dyDescent="0.25">
      <c r="B21" t="s">
        <v>200</v>
      </c>
      <c r="C21" s="25">
        <f>C20/8</f>
        <v>344.07051282051282</v>
      </c>
    </row>
  </sheetData>
  <mergeCells count="3">
    <mergeCell ref="A1:E1"/>
    <mergeCell ref="A2:E2"/>
    <mergeCell ref="A3:E3"/>
  </mergeCells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3F3FC-2553-4627-B710-C613C241F64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5</vt:i4>
      </vt:variant>
    </vt:vector>
  </HeadingPairs>
  <TitlesOfParts>
    <vt:vector size="5" baseType="lpstr">
      <vt:lpstr>List1</vt:lpstr>
      <vt:lpstr>Obračun ur</vt:lpstr>
      <vt:lpstr>Obračun plač</vt:lpstr>
      <vt:lpstr>Končni obračun</vt:lpstr>
      <vt:lpstr>List3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Marušič</dc:creator>
  <cp:lastModifiedBy>Jakob Marušič</cp:lastModifiedBy>
  <dcterms:created xsi:type="dcterms:W3CDTF">2019-12-12T19:30:16Z</dcterms:created>
  <dcterms:modified xsi:type="dcterms:W3CDTF">2019-12-13T11:01:17Z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7d9febd3-26c3-4dfc-8727-da911a13ec76</vt:lpwstr>
  </property>
</Properties>
</file>