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eba\Desktop\konc\"/>
    </mc:Choice>
  </mc:AlternateContent>
  <xr:revisionPtr revIDLastSave="0" documentId="13_ncr:1_{1F28ACDD-99B4-426F-A73A-47A946FDFAA8}" xr6:coauthVersionLast="47" xr6:coauthVersionMax="47" xr10:uidLastSave="{00000000-0000-0000-0000-000000000000}"/>
  <bookViews>
    <workbookView xWindow="-108" yWindow="-108" windowWidth="23256" windowHeight="12576" activeTab="2" xr2:uid="{E4D1C54E-4B6D-4636-B891-302CDD2D5CBD}"/>
  </bookViews>
  <sheets>
    <sheet name="test_market.do_trade" sheetId="1" r:id="rId1"/>
    <sheet name="test_market.set_prices" sheetId="3" r:id="rId2"/>
    <sheet name="test_state_data.emplo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4" l="1"/>
  <c r="D24" i="4" s="1"/>
  <c r="D25" i="4" s="1"/>
  <c r="E23" i="4"/>
  <c r="E24" i="4" s="1"/>
  <c r="E25" i="4" s="1"/>
  <c r="G23" i="4"/>
  <c r="G24" i="4" s="1"/>
  <c r="G25" i="4" s="1"/>
  <c r="F23" i="4"/>
  <c r="F24" i="4" s="1"/>
  <c r="F25" i="4" s="1"/>
  <c r="I15" i="4"/>
  <c r="G5" i="4"/>
  <c r="F5" i="4"/>
  <c r="E5" i="4"/>
  <c r="D5" i="4"/>
  <c r="E20" i="4"/>
  <c r="F20" i="4"/>
  <c r="G20" i="4"/>
  <c r="D20" i="4"/>
  <c r="E12" i="4"/>
  <c r="F12" i="4"/>
  <c r="G12" i="4"/>
  <c r="D12" i="4"/>
  <c r="D13" i="4" s="1"/>
  <c r="S15" i="4"/>
  <c r="S14" i="4"/>
  <c r="S13" i="4"/>
  <c r="R13" i="4"/>
  <c r="S12" i="4"/>
  <c r="O12" i="4"/>
  <c r="P12" i="4"/>
  <c r="Q12" i="4"/>
  <c r="N12" i="4"/>
  <c r="G15" i="4"/>
  <c r="F15" i="4"/>
  <c r="E15" i="4"/>
  <c r="E13" i="4"/>
  <c r="F13" i="4"/>
  <c r="G13" i="4"/>
  <c r="G14" i="4"/>
  <c r="F14" i="4"/>
  <c r="E14" i="4"/>
  <c r="G10" i="4"/>
  <c r="G11" i="4" s="1"/>
  <c r="F10" i="4"/>
  <c r="F11" i="4" s="1"/>
  <c r="E10" i="4"/>
  <c r="E11" i="4" s="1"/>
  <c r="D10" i="4"/>
  <c r="D11" i="4" s="1"/>
  <c r="G6" i="4"/>
  <c r="D6" i="4"/>
  <c r="E6" i="4"/>
  <c r="F6" i="4"/>
  <c r="R11" i="4"/>
  <c r="O11" i="4"/>
  <c r="P11" i="4"/>
  <c r="Q11" i="4"/>
  <c r="N11" i="4"/>
  <c r="Q10" i="4"/>
  <c r="O10" i="4"/>
  <c r="F7" i="4"/>
  <c r="E7" i="4"/>
  <c r="D7" i="4"/>
  <c r="G7" i="4"/>
  <c r="O9" i="4"/>
  <c r="P9" i="4"/>
  <c r="Q9" i="4"/>
  <c r="N9" i="4"/>
  <c r="O7" i="4"/>
  <c r="P7" i="4"/>
  <c r="Q7" i="4"/>
  <c r="N7" i="4"/>
  <c r="O6" i="4"/>
  <c r="P6" i="4"/>
  <c r="Q6" i="4"/>
  <c r="N6" i="4"/>
  <c r="E4" i="4"/>
  <c r="H4" i="4" s="1"/>
  <c r="F4" i="4"/>
  <c r="C12" i="1"/>
  <c r="D12" i="1"/>
  <c r="E12" i="1"/>
  <c r="F12" i="1"/>
  <c r="B12" i="3"/>
  <c r="C13" i="1"/>
  <c r="D13" i="1"/>
  <c r="E13" i="1"/>
  <c r="F13" i="1"/>
  <c r="C11" i="1"/>
  <c r="D11" i="1"/>
  <c r="E11" i="1"/>
  <c r="F11" i="1"/>
  <c r="B11" i="1"/>
  <c r="B11" i="3"/>
  <c r="C10" i="1"/>
  <c r="D10" i="1"/>
  <c r="E10" i="1"/>
  <c r="F10" i="1"/>
  <c r="B10" i="1"/>
  <c r="B10" i="3"/>
  <c r="C12" i="3"/>
  <c r="D12" i="3"/>
  <c r="E12" i="3"/>
  <c r="F12" i="3"/>
  <c r="G12" i="3"/>
  <c r="G13" i="3" s="1"/>
  <c r="C9" i="1"/>
  <c r="D9" i="1"/>
  <c r="F13" i="3"/>
  <c r="C13" i="3"/>
  <c r="D13" i="3"/>
  <c r="E13" i="3"/>
  <c r="C11" i="3"/>
  <c r="D11" i="3"/>
  <c r="E11" i="3"/>
  <c r="F11" i="3"/>
  <c r="G11" i="3"/>
  <c r="C10" i="3"/>
  <c r="D10" i="3"/>
  <c r="E10" i="3"/>
  <c r="F10" i="3"/>
  <c r="G10" i="3"/>
  <c r="G7" i="3"/>
  <c r="G6" i="3"/>
  <c r="F6" i="3"/>
  <c r="F7" i="3"/>
  <c r="E7" i="3"/>
  <c r="D7" i="3"/>
  <c r="C7" i="3"/>
  <c r="B7" i="3"/>
  <c r="E6" i="3"/>
  <c r="D6" i="3"/>
  <c r="C6" i="3"/>
  <c r="B6" i="3"/>
  <c r="C7" i="1"/>
  <c r="D7" i="1"/>
  <c r="E7" i="1"/>
  <c r="E9" i="1" s="1"/>
  <c r="F7" i="1"/>
  <c r="F9" i="1" s="1"/>
  <c r="B7" i="1"/>
  <c r="B9" i="1" s="1"/>
  <c r="B12" i="1" s="1"/>
  <c r="C6" i="1"/>
  <c r="D6" i="1"/>
  <c r="E6" i="1"/>
  <c r="F6" i="1"/>
  <c r="B6" i="1"/>
  <c r="S4" i="1"/>
  <c r="S3" i="1"/>
  <c r="D16" i="4" l="1"/>
  <c r="D17" i="4" s="1"/>
  <c r="E22" i="4" s="1"/>
  <c r="D14" i="4"/>
  <c r="H14" i="4" s="1"/>
  <c r="F16" i="4"/>
  <c r="F17" i="4" s="1"/>
  <c r="O22" i="4" s="1"/>
  <c r="G16" i="4"/>
  <c r="G17" i="4" s="1"/>
  <c r="T22" i="4" s="1"/>
  <c r="D15" i="4"/>
  <c r="E16" i="4"/>
  <c r="E17" i="4" s="1"/>
  <c r="J22" i="4" s="1"/>
  <c r="H10" i="4"/>
  <c r="E8" i="4"/>
  <c r="E9" i="4" s="1"/>
  <c r="G8" i="4"/>
  <c r="G9" i="4" s="1"/>
  <c r="D8" i="4"/>
  <c r="D9" i="4" s="1"/>
  <c r="F8" i="4"/>
  <c r="F9" i="4" s="1"/>
  <c r="B13" i="1"/>
  <c r="L14" i="1" s="1"/>
  <c r="P14" i="1"/>
  <c r="N14" i="1"/>
  <c r="N17" i="1" s="1"/>
  <c r="C14" i="1"/>
  <c r="C17" i="1" s="1"/>
  <c r="G9" i="3"/>
  <c r="E9" i="3"/>
  <c r="D9" i="3"/>
  <c r="B9" i="3"/>
  <c r="B13" i="3" s="1"/>
  <c r="F9" i="3"/>
  <c r="C9" i="3"/>
  <c r="D14" i="1"/>
  <c r="D17" i="1" s="1"/>
  <c r="I14" i="1"/>
  <c r="I17" i="1" s="1"/>
  <c r="H14" i="1"/>
  <c r="H17" i="1" s="1"/>
  <c r="N16" i="1"/>
  <c r="I16" i="1"/>
  <c r="D16" i="1"/>
  <c r="M16" i="1"/>
  <c r="H16" i="1"/>
  <c r="C16" i="1"/>
  <c r="E18" i="4" l="1"/>
  <c r="E19" i="4" s="1"/>
  <c r="I22" i="4" s="1"/>
  <c r="G18" i="4"/>
  <c r="G19" i="4" s="1"/>
  <c r="R22" i="4" s="1"/>
  <c r="F18" i="4"/>
  <c r="F19" i="4" s="1"/>
  <c r="M22" i="4" s="1"/>
  <c r="D18" i="4"/>
  <c r="D19" i="4" s="1"/>
  <c r="B22" i="4" s="1"/>
  <c r="P22" i="4"/>
  <c r="Q22" i="4"/>
  <c r="F16" i="1"/>
  <c r="K16" i="1"/>
  <c r="L16" i="1"/>
  <c r="G16" i="1"/>
  <c r="B16" i="1"/>
  <c r="P17" i="1"/>
  <c r="F14" i="1"/>
  <c r="F17" i="1" s="1"/>
  <c r="P16" i="1"/>
  <c r="K14" i="1"/>
  <c r="K17" i="1" s="1"/>
  <c r="G14" i="1"/>
  <c r="G17" i="1" s="1"/>
  <c r="B14" i="1"/>
  <c r="B17" i="1" s="1"/>
  <c r="M14" i="1"/>
  <c r="M17" i="1" s="1"/>
  <c r="E16" i="1"/>
  <c r="O16" i="1"/>
  <c r="J16" i="1"/>
  <c r="C18" i="1" s="1"/>
  <c r="L17" i="1"/>
  <c r="H22" i="4" l="1"/>
  <c r="F22" i="4"/>
  <c r="G22" i="4"/>
  <c r="S22" i="4"/>
  <c r="K22" i="4"/>
  <c r="L22" i="4"/>
  <c r="N22" i="4"/>
  <c r="D22" i="4"/>
  <c r="A22" i="4"/>
  <c r="C22" i="4"/>
  <c r="D18" i="1"/>
  <c r="B18" i="1"/>
  <c r="J14" i="1"/>
  <c r="J17" i="1" s="1"/>
  <c r="C19" i="1" s="1"/>
  <c r="C20" i="1" s="1"/>
  <c r="O14" i="1"/>
  <c r="O17" i="1" s="1"/>
  <c r="D19" i="1" s="1"/>
  <c r="E14" i="1"/>
  <c r="E17" i="1" s="1"/>
  <c r="B19" i="1" s="1"/>
  <c r="B20" i="1" s="1"/>
  <c r="D31" i="1" l="1"/>
  <c r="D20" i="1"/>
  <c r="N22" i="1" s="1"/>
  <c r="C31" i="1"/>
  <c r="B31" i="1"/>
  <c r="C22" i="1"/>
  <c r="E22" i="1"/>
  <c r="F22" i="1"/>
  <c r="D22" i="1"/>
  <c r="B22" i="1"/>
  <c r="H22" i="1"/>
  <c r="G22" i="1"/>
  <c r="I22" i="1"/>
  <c r="J22" i="1"/>
  <c r="K22" i="1"/>
  <c r="B23" i="1"/>
  <c r="C23" i="1"/>
  <c r="D23" i="1" l="1"/>
  <c r="N24" i="1" s="1"/>
  <c r="N25" i="1" s="1"/>
  <c r="N29" i="1" s="1"/>
  <c r="L22" i="1"/>
  <c r="M22" i="1"/>
  <c r="O22" i="1"/>
  <c r="P22" i="1"/>
  <c r="F31" i="1"/>
  <c r="B32" i="1" s="1"/>
  <c r="G24" i="1"/>
  <c r="G25" i="1" s="1"/>
  <c r="G29" i="1" s="1"/>
  <c r="K24" i="1"/>
  <c r="K25" i="1" s="1"/>
  <c r="K29" i="1" s="1"/>
  <c r="H24" i="1"/>
  <c r="H25" i="1" s="1"/>
  <c r="H29" i="1" s="1"/>
  <c r="I24" i="1"/>
  <c r="I25" i="1" s="1"/>
  <c r="I29" i="1" s="1"/>
  <c r="J24" i="1"/>
  <c r="J25" i="1" s="1"/>
  <c r="J29" i="1" s="1"/>
  <c r="D24" i="1"/>
  <c r="D25" i="1" s="1"/>
  <c r="D29" i="1" s="1"/>
  <c r="E24" i="1"/>
  <c r="E25" i="1" s="1"/>
  <c r="E29" i="1" s="1"/>
  <c r="C24" i="1"/>
  <c r="C25" i="1" s="1"/>
  <c r="C29" i="1" s="1"/>
  <c r="F24" i="1"/>
  <c r="F25" i="1" s="1"/>
  <c r="F29" i="1" s="1"/>
  <c r="B24" i="1"/>
  <c r="B25" i="1" s="1"/>
  <c r="B29" i="1" s="1"/>
  <c r="M24" i="1" l="1"/>
  <c r="M25" i="1" s="1"/>
  <c r="M29" i="1" s="1"/>
  <c r="C30" i="1" s="1"/>
  <c r="L24" i="1"/>
  <c r="L25" i="1" s="1"/>
  <c r="L29" i="1" s="1"/>
  <c r="B30" i="1" s="1"/>
  <c r="P24" i="1"/>
  <c r="P25" i="1" s="1"/>
  <c r="P29" i="1" s="1"/>
  <c r="F30" i="1" s="1"/>
  <c r="O24" i="1"/>
  <c r="O25" i="1"/>
  <c r="O29" i="1" s="1"/>
  <c r="E30" i="1" s="1"/>
  <c r="D32" i="1"/>
  <c r="C32" i="1"/>
  <c r="D30" i="1"/>
  <c r="O34" i="1" l="1"/>
  <c r="O36" i="1" s="1"/>
  <c r="E34" i="1"/>
  <c r="E36" i="1" s="1"/>
  <c r="J34" i="1"/>
  <c r="J36" i="1" s="1"/>
  <c r="F34" i="1"/>
  <c r="F36" i="1" s="1"/>
  <c r="P34" i="1"/>
  <c r="P36" i="1" s="1"/>
  <c r="K34" i="1"/>
  <c r="K36" i="1" s="1"/>
  <c r="G34" i="1"/>
  <c r="G36" i="1" s="1"/>
  <c r="B34" i="1"/>
  <c r="B36" i="1" s="1"/>
  <c r="L34" i="1"/>
  <c r="L36" i="1" s="1"/>
  <c r="D34" i="1"/>
  <c r="D36" i="1" s="1"/>
  <c r="I34" i="1"/>
  <c r="I36" i="1" s="1"/>
  <c r="N34" i="1"/>
  <c r="N36" i="1" s="1"/>
  <c r="C34" i="1"/>
  <c r="C36" i="1" s="1"/>
  <c r="H34" i="1"/>
  <c r="H36" i="1" s="1"/>
  <c r="M34" i="1"/>
  <c r="M36" i="1" s="1"/>
</calcChain>
</file>

<file path=xl/sharedStrings.xml><?xml version="1.0" encoding="utf-8"?>
<sst xmlns="http://schemas.openxmlformats.org/spreadsheetml/2006/main" count="161" uniqueCount="76">
  <si>
    <t>food</t>
  </si>
  <si>
    <t>wood</t>
  </si>
  <si>
    <t>stone</t>
  </si>
  <si>
    <t>iron</t>
  </si>
  <si>
    <t>tools</t>
  </si>
  <si>
    <t>needed</t>
  </si>
  <si>
    <t>begin</t>
  </si>
  <si>
    <t>available</t>
  </si>
  <si>
    <t>default pric</t>
  </si>
  <si>
    <t>prices</t>
  </si>
  <si>
    <t>profits</t>
  </si>
  <si>
    <t>money_sum</t>
  </si>
  <si>
    <t>needed_sum</t>
  </si>
  <si>
    <t>resources</t>
  </si>
  <si>
    <t>after first</t>
  </si>
  <si>
    <t>starczy?</t>
  </si>
  <si>
    <t>kupione1</t>
  </si>
  <si>
    <t>kupione2</t>
  </si>
  <si>
    <t>part_bought</t>
  </si>
  <si>
    <t>kupione</t>
  </si>
  <si>
    <t>purchase:</t>
  </si>
  <si>
    <t>money</t>
  </si>
  <si>
    <t>total:</t>
  </si>
  <si>
    <t>kupione3</t>
  </si>
  <si>
    <t>res_after</t>
  </si>
  <si>
    <t>new_needed</t>
  </si>
  <si>
    <t>TEST test_market.do_trade()</t>
  </si>
  <si>
    <t>rel_prices</t>
  </si>
  <si>
    <t>TEST test_market._set_prices()</t>
  </si>
  <si>
    <t>reg_prices</t>
  </si>
  <si>
    <t>land</t>
  </si>
  <si>
    <t>old_avail</t>
  </si>
  <si>
    <t>diff_prices</t>
  </si>
  <si>
    <t>DERIVATION</t>
  </si>
  <si>
    <t>nondefault</t>
  </si>
  <si>
    <t>-d(ava)</t>
  </si>
  <si>
    <t>population</t>
  </si>
  <si>
    <t>max_emps</t>
  </si>
  <si>
    <t>employable</t>
  </si>
  <si>
    <t>wage</t>
  </si>
  <si>
    <t>min_wage</t>
  </si>
  <si>
    <t>land_use</t>
  </si>
  <si>
    <t>total_max_emps</t>
  </si>
  <si>
    <t>total_emps</t>
  </si>
  <si>
    <t>ratio</t>
  </si>
  <si>
    <t>employers_corrected_wage</t>
  </si>
  <si>
    <t>employees_wage_shares</t>
  </si>
  <si>
    <t>ratios</t>
  </si>
  <si>
    <t>employees</t>
  </si>
  <si>
    <t>production</t>
  </si>
  <si>
    <t>produced</t>
  </si>
  <si>
    <t>tools_used</t>
  </si>
  <si>
    <t>tools_usage</t>
  </si>
  <si>
    <t>total</t>
  </si>
  <si>
    <t>wage_ratios</t>
  </si>
  <si>
    <t>emps_first_added</t>
  </si>
  <si>
    <t>overemployment</t>
  </si>
  <si>
    <t>emps_second_added</t>
  </si>
  <si>
    <t>emps_second_wages</t>
  </si>
  <si>
    <t>emps_second_total</t>
  </si>
  <si>
    <t>increase_wage?</t>
  </si>
  <si>
    <t>produced_worth</t>
  </si>
  <si>
    <t>used_worth</t>
  </si>
  <si>
    <t>DEFAULT_PRICES</t>
  </si>
  <si>
    <t>profit_share</t>
  </si>
  <si>
    <t>max_wage</t>
  </si>
  <si>
    <t>employer_share</t>
  </si>
  <si>
    <t>employee_share</t>
  </si>
  <si>
    <t>total_produced_share</t>
  </si>
  <si>
    <t>total_used_share</t>
  </si>
  <si>
    <t>raw_prices</t>
  </si>
  <si>
    <t>changed_wage</t>
  </si>
  <si>
    <t>WAGE_CHANGE</t>
  </si>
  <si>
    <t>bottom_checked</t>
  </si>
  <si>
    <t>employer_wage_not_corrected</t>
  </si>
  <si>
    <t>top_checked (NEW_WAGE)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</si>
</sst>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0" xfId="0" applyFill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4" xfId="0" quotePrefix="1" applyFill="1" applyBorder="1"/>
    <xf numFmtId="0" fontId="0" fillId="2" borderId="0" xfId="0" applyFill="1"/>
    <xf numFmtId="0" fontId="0" fillId="2" borderId="0" xfId="0" applyNumberFormat="1" applyFill="1"/>
    <xf numFmtId="0" fontId="0" fillId="0" borderId="9" xfId="0" applyBorder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5964-51D9-4F83-BE49-7B6E99C5E897}">
  <dimension ref="A1:S36"/>
  <sheetViews>
    <sheetView topLeftCell="A8" workbookViewId="0">
      <selection activeCell="N26" sqref="N26"/>
    </sheetView>
  </sheetViews>
  <sheetFormatPr defaultRowHeight="14.4" x14ac:dyDescent="0.3"/>
  <cols>
    <col min="1" max="1" width="10.88671875" customWidth="1"/>
    <col min="2" max="2" width="9.109375" bestFit="1" customWidth="1"/>
    <col min="19" max="19" width="9.109375" bestFit="1" customWidth="1"/>
  </cols>
  <sheetData>
    <row r="1" spans="1:19" x14ac:dyDescent="0.3">
      <c r="A1" s="1" t="s">
        <v>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x14ac:dyDescent="0.3">
      <c r="A2" s="4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0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0</v>
      </c>
      <c r="M2" s="5" t="s">
        <v>1</v>
      </c>
      <c r="N2" s="5" t="s">
        <v>2</v>
      </c>
      <c r="O2" s="5" t="s">
        <v>3</v>
      </c>
      <c r="P2" s="5" t="s">
        <v>4</v>
      </c>
      <c r="Q2" s="5"/>
      <c r="R2" s="5"/>
      <c r="S2" s="6"/>
    </row>
    <row r="3" spans="1:19" x14ac:dyDescent="0.3">
      <c r="A3" s="4" t="s">
        <v>6</v>
      </c>
      <c r="B3" s="5">
        <v>100</v>
      </c>
      <c r="C3" s="5">
        <v>100</v>
      </c>
      <c r="D3" s="5">
        <v>100</v>
      </c>
      <c r="E3" s="5">
        <v>100</v>
      </c>
      <c r="F3" s="5">
        <v>100</v>
      </c>
      <c r="G3" s="5">
        <v>200</v>
      </c>
      <c r="H3" s="5">
        <v>200</v>
      </c>
      <c r="I3" s="5">
        <v>200</v>
      </c>
      <c r="J3" s="5">
        <v>200</v>
      </c>
      <c r="K3" s="5">
        <v>200</v>
      </c>
      <c r="L3" s="5">
        <v>10</v>
      </c>
      <c r="M3" s="5">
        <v>20</v>
      </c>
      <c r="N3" s="5">
        <v>30</v>
      </c>
      <c r="O3" s="5">
        <v>40</v>
      </c>
      <c r="P3" s="5">
        <v>50</v>
      </c>
      <c r="Q3" s="5" t="s">
        <v>6</v>
      </c>
      <c r="R3" s="5" t="s">
        <v>7</v>
      </c>
      <c r="S3" s="6">
        <f>SUM(B3:P3)</f>
        <v>1650</v>
      </c>
    </row>
    <row r="4" spans="1:19" x14ac:dyDescent="0.3">
      <c r="A4" s="4" t="s">
        <v>5</v>
      </c>
      <c r="B4" s="5">
        <v>150</v>
      </c>
      <c r="C4" s="5">
        <v>50</v>
      </c>
      <c r="D4" s="5">
        <v>50</v>
      </c>
      <c r="E4" s="5">
        <v>0</v>
      </c>
      <c r="F4" s="5">
        <v>50</v>
      </c>
      <c r="G4" s="5">
        <v>150</v>
      </c>
      <c r="H4" s="5">
        <v>50</v>
      </c>
      <c r="I4" s="5">
        <v>50</v>
      </c>
      <c r="J4" s="5">
        <v>0</v>
      </c>
      <c r="K4" s="5">
        <v>50</v>
      </c>
      <c r="L4" s="5">
        <v>50</v>
      </c>
      <c r="M4" s="5">
        <v>50</v>
      </c>
      <c r="N4" s="5">
        <v>50</v>
      </c>
      <c r="O4" s="5">
        <v>1</v>
      </c>
      <c r="P4" s="5">
        <v>50</v>
      </c>
      <c r="Q4" s="5"/>
      <c r="R4" s="5" t="s">
        <v>5</v>
      </c>
      <c r="S4" s="6">
        <f>SUM(B4:P4)</f>
        <v>801</v>
      </c>
    </row>
    <row r="5" spans="1:19" x14ac:dyDescent="0.3">
      <c r="A5" s="14" t="s">
        <v>31</v>
      </c>
      <c r="B5">
        <v>308</v>
      </c>
      <c r="C5">
        <v>300</v>
      </c>
      <c r="D5">
        <v>335</v>
      </c>
      <c r="E5">
        <v>345</v>
      </c>
      <c r="F5">
        <v>345</v>
      </c>
      <c r="S5" s="6"/>
    </row>
    <row r="6" spans="1:19" x14ac:dyDescent="0.3">
      <c r="A6" s="4" t="s">
        <v>7</v>
      </c>
      <c r="B6" s="5">
        <f t="shared" ref="B6:F7" si="0">SUM(B3,G3,L3)</f>
        <v>310</v>
      </c>
      <c r="C6" s="5">
        <f t="shared" si="0"/>
        <v>320</v>
      </c>
      <c r="D6" s="5">
        <f t="shared" si="0"/>
        <v>330</v>
      </c>
      <c r="E6" s="5">
        <f t="shared" si="0"/>
        <v>340</v>
      </c>
      <c r="F6" s="5">
        <f t="shared" si="0"/>
        <v>350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6"/>
    </row>
    <row r="7" spans="1:19" x14ac:dyDescent="0.3">
      <c r="A7" s="4" t="s">
        <v>5</v>
      </c>
      <c r="B7" s="5">
        <f t="shared" si="0"/>
        <v>350</v>
      </c>
      <c r="C7" s="5">
        <f t="shared" si="0"/>
        <v>150</v>
      </c>
      <c r="D7" s="5">
        <f t="shared" si="0"/>
        <v>150</v>
      </c>
      <c r="E7" s="5">
        <f t="shared" si="0"/>
        <v>1</v>
      </c>
      <c r="F7" s="5">
        <f t="shared" si="0"/>
        <v>150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6"/>
    </row>
    <row r="8" spans="1:19" x14ac:dyDescent="0.3">
      <c r="A8" s="9" t="s">
        <v>8</v>
      </c>
      <c r="B8" s="10">
        <v>1</v>
      </c>
      <c r="C8" s="10">
        <v>1.5</v>
      </c>
      <c r="D8" s="10">
        <v>2.5</v>
      </c>
      <c r="E8" s="10">
        <v>2.5</v>
      </c>
      <c r="F8" s="10">
        <v>3.5</v>
      </c>
      <c r="G8" s="5"/>
      <c r="H8" s="10" t="s">
        <v>33</v>
      </c>
      <c r="I8" s="10"/>
      <c r="J8" s="10">
        <v>0.5</v>
      </c>
      <c r="K8" s="5"/>
      <c r="L8" s="5"/>
      <c r="M8" s="5"/>
      <c r="N8" s="5"/>
      <c r="O8" s="5"/>
      <c r="P8" s="5"/>
      <c r="Q8" s="5"/>
      <c r="R8" s="5"/>
      <c r="S8" s="6"/>
    </row>
    <row r="9" spans="1:19" x14ac:dyDescent="0.3">
      <c r="A9" s="4" t="s">
        <v>29</v>
      </c>
      <c r="B9" s="5">
        <f>IF(B7*B8/B6=0,B8,B7*B8/B6)</f>
        <v>1.1290322580645162</v>
      </c>
      <c r="C9" s="5">
        <f t="shared" ref="C9:F9" si="1">IF(C7*C8/C6=0,C8,C7*C8/C6)</f>
        <v>0.703125</v>
      </c>
      <c r="D9" s="5">
        <f t="shared" si="1"/>
        <v>1.1363636363636365</v>
      </c>
      <c r="E9" s="5">
        <f t="shared" si="1"/>
        <v>7.3529411764705881E-3</v>
      </c>
      <c r="F9" s="5">
        <f t="shared" si="1"/>
        <v>1.5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6"/>
    </row>
    <row r="10" spans="1:19" x14ac:dyDescent="0.3">
      <c r="B10">
        <f>(B5-B6)</f>
        <v>-2</v>
      </c>
      <c r="C10">
        <f t="shared" ref="C10:F10" si="2">(C5-C6)</f>
        <v>-20</v>
      </c>
      <c r="D10">
        <f t="shared" si="2"/>
        <v>5</v>
      </c>
      <c r="E10">
        <f t="shared" si="2"/>
        <v>5</v>
      </c>
      <c r="F10">
        <f t="shared" si="2"/>
        <v>-5</v>
      </c>
      <c r="S10" s="6"/>
    </row>
    <row r="11" spans="1:19" x14ac:dyDescent="0.3">
      <c r="B11">
        <f>EXP(B10)*B8</f>
        <v>0.1353352832366127</v>
      </c>
      <c r="C11">
        <f t="shared" ref="C11:F11" si="3">EXP(C10)*C8</f>
        <v>3.0917304336578366E-9</v>
      </c>
      <c r="D11">
        <f t="shared" si="3"/>
        <v>371.03289775644151</v>
      </c>
      <c r="E11">
        <f t="shared" si="3"/>
        <v>371.03289775644151</v>
      </c>
      <c r="F11">
        <f t="shared" si="3"/>
        <v>2.3582814496799134E-2</v>
      </c>
      <c r="S11" s="6"/>
    </row>
    <row r="12" spans="1:19" x14ac:dyDescent="0.3">
      <c r="A12" s="4" t="s">
        <v>9</v>
      </c>
      <c r="B12" s="5">
        <f>$J$8*B11+(1-$K$8)*B9</f>
        <v>1.1966998996828226</v>
      </c>
      <c r="C12" s="5">
        <f t="shared" ref="C12:F12" si="4">$J$8*C11+(1-$K$8)*C9</f>
        <v>0.70312500154586521</v>
      </c>
      <c r="D12" s="5">
        <f t="shared" si="4"/>
        <v>186.65281251458438</v>
      </c>
      <c r="E12" s="5">
        <f t="shared" si="4"/>
        <v>185.52380181939722</v>
      </c>
      <c r="F12" s="5">
        <f t="shared" si="4"/>
        <v>1.5117914072483996</v>
      </c>
      <c r="S12" s="6"/>
    </row>
    <row r="13" spans="1:19" x14ac:dyDescent="0.3">
      <c r="A13" s="14" t="s">
        <v>27</v>
      </c>
      <c r="B13">
        <f>B9/B8</f>
        <v>1.1290322580645162</v>
      </c>
      <c r="C13">
        <f t="shared" ref="C13:F13" si="5">C9/C8</f>
        <v>0.46875</v>
      </c>
      <c r="D13">
        <f t="shared" si="5"/>
        <v>0.45454545454545459</v>
      </c>
      <c r="E13">
        <f t="shared" si="5"/>
        <v>2.9411764705882353E-3</v>
      </c>
      <c r="F13">
        <f t="shared" si="5"/>
        <v>0.42857142857142855</v>
      </c>
      <c r="S13" s="6"/>
    </row>
    <row r="14" spans="1:19" x14ac:dyDescent="0.3">
      <c r="A14" s="4" t="s">
        <v>25</v>
      </c>
      <c r="B14" s="5">
        <f>MIN(IF(B13=0,1E+40,B4/B13),B4)</f>
        <v>132.85714285714283</v>
      </c>
      <c r="C14" s="5">
        <f>MIN(IF(C13=0,1E+40,C4/C13),C4)</f>
        <v>50</v>
      </c>
      <c r="D14" s="5">
        <f>MIN(IF(D13=0,1E+40,D4/D13),D4)</f>
        <v>50</v>
      </c>
      <c r="E14" s="5">
        <f>MIN(IF(E13=0,1E+40,E4/E13),E4)</f>
        <v>0</v>
      </c>
      <c r="F14" s="5">
        <f>MIN(IF(F13=0,1E+40,F4/F13),F4)</f>
        <v>50</v>
      </c>
      <c r="G14" s="5">
        <f>MIN(IF(B13=0,1E+40,G4/B13),G4)</f>
        <v>132.85714285714283</v>
      </c>
      <c r="H14" s="5">
        <f>MIN(IF(C13=0,1E+40,H4/C13),H4)</f>
        <v>50</v>
      </c>
      <c r="I14" s="5">
        <f>MIN(IF(D13=0,1E+40,I4/D13),I4)</f>
        <v>50</v>
      </c>
      <c r="J14" s="5">
        <f>MIN(IF(E13=0,1E+40,J4/E13),J4)</f>
        <v>0</v>
      </c>
      <c r="K14" s="5">
        <f>MIN(IF(F13=0,1E+40,K4/F13),K4)</f>
        <v>50</v>
      </c>
      <c r="L14" s="5">
        <f>MIN(IF(B13=0,1E+40,L4/B13),L4)</f>
        <v>44.285714285714285</v>
      </c>
      <c r="M14" s="5">
        <f>MIN(IF(C13=0,1E+40,M4/C13),M4)</f>
        <v>50</v>
      </c>
      <c r="N14" s="5">
        <f>MIN(IF(D13=0,1E+40,N4/D13),N4)</f>
        <v>50</v>
      </c>
      <c r="O14" s="5">
        <f>MIN(IF(E13=0,1E+40,O4/E13),O4)</f>
        <v>1</v>
      </c>
      <c r="P14" s="5">
        <f>MIN(IF(F13=0,1E+40,P4/F13),P4)</f>
        <v>50</v>
      </c>
      <c r="Q14" s="5"/>
      <c r="R14" s="5"/>
      <c r="S14" s="6"/>
    </row>
    <row r="15" spans="1:19" x14ac:dyDescent="0.3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6"/>
    </row>
    <row r="16" spans="1:19" x14ac:dyDescent="0.3">
      <c r="A16" s="4" t="s">
        <v>10</v>
      </c>
      <c r="B16" s="5">
        <f>$B$12*B3</f>
        <v>119.66998996828227</v>
      </c>
      <c r="C16" s="5">
        <f>$C$12*C3</f>
        <v>70.312500154586516</v>
      </c>
      <c r="D16" s="5">
        <f>$D$12*D3</f>
        <v>18665.281251458437</v>
      </c>
      <c r="E16" s="5">
        <f>$E$12*E3</f>
        <v>18552.380181939723</v>
      </c>
      <c r="F16" s="5">
        <f>$F$12*F3</f>
        <v>151.17914072483995</v>
      </c>
      <c r="G16" s="5">
        <f>$B$12*G3</f>
        <v>239.33997993656453</v>
      </c>
      <c r="H16" s="5">
        <f>$C$12*H3</f>
        <v>140.62500030917303</v>
      </c>
      <c r="I16" s="5">
        <f>$D$12*I3</f>
        <v>37330.562502916873</v>
      </c>
      <c r="J16" s="5">
        <f>$E$12*J3</f>
        <v>37104.760363879446</v>
      </c>
      <c r="K16" s="5">
        <f>$F$12*K3</f>
        <v>302.35828144967991</v>
      </c>
      <c r="L16" s="5">
        <f>$B$12*L3</f>
        <v>11.966998996828227</v>
      </c>
      <c r="M16" s="5">
        <f>$C$12*M3</f>
        <v>14.062500030917304</v>
      </c>
      <c r="N16" s="5">
        <f>$D$12*N3</f>
        <v>5599.5843754375319</v>
      </c>
      <c r="O16" s="5">
        <f>$E$12*O3</f>
        <v>7420.9520727758891</v>
      </c>
      <c r="P16" s="5">
        <f>$F$12*P3</f>
        <v>75.589570362419977</v>
      </c>
      <c r="Q16" s="5"/>
      <c r="R16" s="5"/>
      <c r="S16" s="6"/>
    </row>
    <row r="17" spans="1:19" x14ac:dyDescent="0.3">
      <c r="A17" s="4" t="s">
        <v>5</v>
      </c>
      <c r="B17" s="5">
        <f>$B$12*B14</f>
        <v>158.99012952928928</v>
      </c>
      <c r="C17" s="5">
        <f>$C$12*C14</f>
        <v>35.156250077293258</v>
      </c>
      <c r="D17" s="5">
        <f>$D$12*D14</f>
        <v>9332.6406257292183</v>
      </c>
      <c r="E17" s="5">
        <f>$E$12*E14</f>
        <v>0</v>
      </c>
      <c r="F17" s="5">
        <f>$F$12*F14</f>
        <v>75.589570362419977</v>
      </c>
      <c r="G17" s="5">
        <f>$B$12*G14</f>
        <v>158.99012952928928</v>
      </c>
      <c r="H17" s="5">
        <f>$C$12*H14</f>
        <v>35.156250077293258</v>
      </c>
      <c r="I17" s="5">
        <f>$D$12*I14</f>
        <v>9332.6406257292183</v>
      </c>
      <c r="J17" s="5">
        <f>$E$12*J14</f>
        <v>0</v>
      </c>
      <c r="K17" s="5">
        <f>$F$12*K14</f>
        <v>75.589570362419977</v>
      </c>
      <c r="L17" s="5">
        <f>$B$12*L14</f>
        <v>52.996709843096433</v>
      </c>
      <c r="M17" s="5">
        <f>$C$12*M14</f>
        <v>35.156250077293258</v>
      </c>
      <c r="N17" s="5">
        <f>$D$12*N14</f>
        <v>9332.6406257292183</v>
      </c>
      <c r="O17" s="5">
        <f>$E$12*O14</f>
        <v>185.52380181939722</v>
      </c>
      <c r="P17" s="5">
        <f>$F$12*P14</f>
        <v>75.589570362419977</v>
      </c>
      <c r="Q17" s="5"/>
      <c r="R17" s="5"/>
      <c r="S17" s="6"/>
    </row>
    <row r="18" spans="1:19" x14ac:dyDescent="0.3">
      <c r="A18" s="4" t="s">
        <v>11</v>
      </c>
      <c r="B18" s="5">
        <f>SUM(B16:F16)</f>
        <v>37558.823064245866</v>
      </c>
      <c r="C18" s="5">
        <f>SUM(G16:K16)</f>
        <v>75117.646128491731</v>
      </c>
      <c r="D18" s="5">
        <f>SUM(L16:P16)</f>
        <v>13122.155517603585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6"/>
    </row>
    <row r="19" spans="1:19" x14ac:dyDescent="0.3">
      <c r="A19" s="4" t="s">
        <v>12</v>
      </c>
      <c r="B19" s="5">
        <f>SUM(B17:F17)</f>
        <v>9602.3765756982193</v>
      </c>
      <c r="C19" s="5">
        <f>SUM(G17:K17)</f>
        <v>9602.3765756982193</v>
      </c>
      <c r="D19" s="5">
        <f>SUM(L17:P17)</f>
        <v>9681.9069578314247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6"/>
    </row>
    <row r="20" spans="1:19" x14ac:dyDescent="0.3">
      <c r="A20" s="4" t="s">
        <v>15</v>
      </c>
      <c r="B20" s="5">
        <f>IF(B18&gt;B19,1,0)</f>
        <v>1</v>
      </c>
      <c r="C20" s="5">
        <f t="shared" ref="C20:D20" si="6">IF(C18&gt;C19,1,0)</f>
        <v>1</v>
      </c>
      <c r="D20" s="5">
        <f t="shared" si="6"/>
        <v>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6"/>
    </row>
    <row r="21" spans="1:19" x14ac:dyDescent="0.3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6"/>
    </row>
    <row r="22" spans="1:19" x14ac:dyDescent="0.3">
      <c r="A22" s="4" t="s">
        <v>16</v>
      </c>
      <c r="B22" s="5">
        <f>$B$20*B14</f>
        <v>132.85714285714283</v>
      </c>
      <c r="C22" s="5">
        <f>$B$20*C14</f>
        <v>50</v>
      </c>
      <c r="D22" s="5">
        <f>$B$20*D14</f>
        <v>50</v>
      </c>
      <c r="E22" s="5">
        <f>$B$20*E14</f>
        <v>0</v>
      </c>
      <c r="F22" s="5">
        <f>$B$20*F14</f>
        <v>50</v>
      </c>
      <c r="G22" s="5">
        <f>$C$20*G14</f>
        <v>132.85714285714283</v>
      </c>
      <c r="H22" s="5">
        <f>$C$20*H14</f>
        <v>50</v>
      </c>
      <c r="I22" s="5">
        <f>$C$20*I14</f>
        <v>50</v>
      </c>
      <c r="J22" s="5">
        <f>$C$20*J14</f>
        <v>0</v>
      </c>
      <c r="K22" s="5">
        <f>$C$20*K14</f>
        <v>50</v>
      </c>
      <c r="L22" s="5">
        <f>$D$20*L14</f>
        <v>44.285714285714285</v>
      </c>
      <c r="M22" s="5">
        <f>$D$20*M14</f>
        <v>50</v>
      </c>
      <c r="N22" s="5">
        <f>$D$20*N14</f>
        <v>50</v>
      </c>
      <c r="O22" s="5">
        <f>$D$20*O14</f>
        <v>1</v>
      </c>
      <c r="P22" s="5">
        <f>$D$20*P14</f>
        <v>50</v>
      </c>
      <c r="Q22" s="5"/>
      <c r="R22" s="5"/>
      <c r="S22" s="6"/>
    </row>
    <row r="23" spans="1:19" x14ac:dyDescent="0.3">
      <c r="A23" s="4" t="s">
        <v>18</v>
      </c>
      <c r="B23" s="5">
        <f>(1-B20)*B18/B19</f>
        <v>0</v>
      </c>
      <c r="C23" s="5">
        <f t="shared" ref="C23:D23" si="7">(1-C20)*C18/C19</f>
        <v>0</v>
      </c>
      <c r="D23" s="5">
        <f t="shared" si="7"/>
        <v>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6"/>
    </row>
    <row r="24" spans="1:19" x14ac:dyDescent="0.3">
      <c r="A24" s="4" t="s">
        <v>17</v>
      </c>
      <c r="B24" s="5">
        <f>$B$23*B14</f>
        <v>0</v>
      </c>
      <c r="C24" s="5">
        <f>$B$23*C14</f>
        <v>0</v>
      </c>
      <c r="D24" s="5">
        <f>$B$23*D14</f>
        <v>0</v>
      </c>
      <c r="E24" s="5">
        <f>$B$23*E14</f>
        <v>0</v>
      </c>
      <c r="F24" s="5">
        <f>$B$23*F14</f>
        <v>0</v>
      </c>
      <c r="G24" s="5">
        <f>$C$23*G14</f>
        <v>0</v>
      </c>
      <c r="H24" s="5">
        <f>$C$23*H14</f>
        <v>0</v>
      </c>
      <c r="I24" s="5">
        <f>$C$23*I14</f>
        <v>0</v>
      </c>
      <c r="J24" s="5">
        <f>$C$23*J14</f>
        <v>0</v>
      </c>
      <c r="K24" s="5">
        <f>$C$23*K14</f>
        <v>0</v>
      </c>
      <c r="L24" s="5">
        <f>$D$23*L14</f>
        <v>0</v>
      </c>
      <c r="M24" s="5">
        <f>$D$23*M14</f>
        <v>0</v>
      </c>
      <c r="N24" s="5">
        <f>$D$23*N14</f>
        <v>0</v>
      </c>
      <c r="O24" s="5">
        <f>$D$23*O14</f>
        <v>0</v>
      </c>
      <c r="P24" s="5">
        <f>$D$23*P14</f>
        <v>0</v>
      </c>
      <c r="Q24" s="5"/>
      <c r="R24" s="5"/>
      <c r="S24" s="6"/>
    </row>
    <row r="25" spans="1:19" x14ac:dyDescent="0.3">
      <c r="A25" s="4" t="s">
        <v>19</v>
      </c>
      <c r="B25" s="5">
        <f>B24+B22</f>
        <v>132.85714285714283</v>
      </c>
      <c r="C25" s="5">
        <f t="shared" ref="C25:P25" si="8">C24+C22</f>
        <v>50</v>
      </c>
      <c r="D25" s="5">
        <f t="shared" si="8"/>
        <v>50</v>
      </c>
      <c r="E25" s="5">
        <f t="shared" si="8"/>
        <v>0</v>
      </c>
      <c r="F25" s="5">
        <f t="shared" si="8"/>
        <v>50</v>
      </c>
      <c r="G25" s="5">
        <f t="shared" si="8"/>
        <v>132.85714285714283</v>
      </c>
      <c r="H25" s="5">
        <f t="shared" si="8"/>
        <v>50</v>
      </c>
      <c r="I25" s="5">
        <f t="shared" si="8"/>
        <v>50</v>
      </c>
      <c r="J25" s="5">
        <f t="shared" si="8"/>
        <v>0</v>
      </c>
      <c r="K25" s="5">
        <f t="shared" si="8"/>
        <v>50</v>
      </c>
      <c r="L25" s="5">
        <f t="shared" si="8"/>
        <v>44.285714285714285</v>
      </c>
      <c r="M25" s="5">
        <f t="shared" si="8"/>
        <v>50</v>
      </c>
      <c r="N25" s="5">
        <f t="shared" si="8"/>
        <v>50</v>
      </c>
      <c r="O25" s="5">
        <f t="shared" si="8"/>
        <v>1</v>
      </c>
      <c r="P25" s="5">
        <f t="shared" si="8"/>
        <v>50</v>
      </c>
      <c r="Q25" s="5"/>
      <c r="R25" s="5"/>
      <c r="S25" s="6"/>
    </row>
    <row r="26" spans="1:19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</row>
    <row r="27" spans="1:19" x14ac:dyDescent="0.3">
      <c r="A27" s="4" t="s">
        <v>14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</row>
    <row r="28" spans="1:19" x14ac:dyDescent="0.3">
      <c r="A28" s="4" t="s">
        <v>20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</row>
    <row r="29" spans="1:19" x14ac:dyDescent="0.3">
      <c r="A29" s="4" t="s">
        <v>13</v>
      </c>
      <c r="B29" s="5">
        <f t="shared" ref="B29:P29" si="9">B25</f>
        <v>132.85714285714283</v>
      </c>
      <c r="C29" s="5">
        <f t="shared" si="9"/>
        <v>50</v>
      </c>
      <c r="D29" s="5">
        <f t="shared" si="9"/>
        <v>50</v>
      </c>
      <c r="E29" s="5">
        <f t="shared" si="9"/>
        <v>0</v>
      </c>
      <c r="F29" s="5">
        <f t="shared" si="9"/>
        <v>50</v>
      </c>
      <c r="G29" s="5">
        <f t="shared" si="9"/>
        <v>132.85714285714283</v>
      </c>
      <c r="H29" s="5">
        <f t="shared" si="9"/>
        <v>50</v>
      </c>
      <c r="I29" s="5">
        <f t="shared" si="9"/>
        <v>50</v>
      </c>
      <c r="J29" s="5">
        <f t="shared" si="9"/>
        <v>0</v>
      </c>
      <c r="K29" s="5">
        <f t="shared" si="9"/>
        <v>50</v>
      </c>
      <c r="L29" s="5">
        <f t="shared" si="9"/>
        <v>44.285714285714285</v>
      </c>
      <c r="M29" s="5">
        <f t="shared" si="9"/>
        <v>50</v>
      </c>
      <c r="N29" s="5">
        <f t="shared" si="9"/>
        <v>50</v>
      </c>
      <c r="O29" s="5">
        <f t="shared" si="9"/>
        <v>1</v>
      </c>
      <c r="P29" s="5">
        <f t="shared" si="9"/>
        <v>50</v>
      </c>
      <c r="Q29" s="5"/>
      <c r="R29" s="5"/>
      <c r="S29" s="6"/>
    </row>
    <row r="30" spans="1:19" x14ac:dyDescent="0.3">
      <c r="A30" s="4" t="s">
        <v>7</v>
      </c>
      <c r="B30" s="5">
        <f>B6-B29-G29-L29</f>
        <v>0</v>
      </c>
      <c r="C30" s="5">
        <f>C6-C29-H29-M29</f>
        <v>170</v>
      </c>
      <c r="D30" s="5">
        <f>D6-D29-I29-N29</f>
        <v>180</v>
      </c>
      <c r="E30" s="5">
        <f>E6-E29-J29-O29</f>
        <v>339</v>
      </c>
      <c r="F30" s="5">
        <f>F6-F29-K29-P29</f>
        <v>200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6"/>
    </row>
    <row r="31" spans="1:19" x14ac:dyDescent="0.3">
      <c r="A31" s="4" t="s">
        <v>21</v>
      </c>
      <c r="B31" s="5">
        <f>MAX(B18-B19, 0)</f>
        <v>27956.446488547648</v>
      </c>
      <c r="C31" s="5">
        <f t="shared" ref="C31:D31" si="10">MAX(C18-C19, 0)</f>
        <v>65515.269552793514</v>
      </c>
      <c r="D31" s="5">
        <f t="shared" si="10"/>
        <v>3440.2485597721607</v>
      </c>
      <c r="E31" s="5" t="s">
        <v>22</v>
      </c>
      <c r="F31" s="5">
        <f>SUM(B31:D31)</f>
        <v>96911.964601113315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6"/>
    </row>
    <row r="32" spans="1:19" x14ac:dyDescent="0.3">
      <c r="A32" s="4" t="s">
        <v>18</v>
      </c>
      <c r="B32" s="5">
        <f>B31/$F$31</f>
        <v>0.28847260091791066</v>
      </c>
      <c r="C32" s="5">
        <f>C31/$F$31</f>
        <v>0.67602870112531888</v>
      </c>
      <c r="D32" s="5">
        <f>D31/$F$31</f>
        <v>3.5498697956770547E-2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6"/>
    </row>
    <row r="33" spans="1:19" x14ac:dyDescent="0.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6"/>
    </row>
    <row r="34" spans="1:19" x14ac:dyDescent="0.3">
      <c r="A34" s="4" t="s">
        <v>23</v>
      </c>
      <c r="B34" s="5">
        <f>B30*$B$32</f>
        <v>0</v>
      </c>
      <c r="C34" s="5">
        <f>C30*$B$32</f>
        <v>49.040342156044815</v>
      </c>
      <c r="D34" s="5">
        <f>D30*$B$32</f>
        <v>51.925068165223919</v>
      </c>
      <c r="E34" s="5">
        <f>E30*$B$32</f>
        <v>97.792211711171717</v>
      </c>
      <c r="F34" s="5">
        <f>F30*$B$32</f>
        <v>57.694520183582135</v>
      </c>
      <c r="G34" s="5">
        <f>B30*$C$32</f>
        <v>0</v>
      </c>
      <c r="H34" s="5">
        <f>C30*$C$32</f>
        <v>114.92487919130421</v>
      </c>
      <c r="I34" s="5">
        <f>D30*$C$32</f>
        <v>121.6851662025574</v>
      </c>
      <c r="J34" s="5">
        <f>E30*$C$32</f>
        <v>229.17372968148311</v>
      </c>
      <c r="K34" s="5">
        <f>F30*$C$32</f>
        <v>135.20574022506378</v>
      </c>
      <c r="L34" s="5">
        <f>B30*$D$32</f>
        <v>0</v>
      </c>
      <c r="M34" s="5">
        <f>C30*$D$32</f>
        <v>6.034778652650993</v>
      </c>
      <c r="N34" s="5">
        <f>D30*$D$32</f>
        <v>6.3897656322186984</v>
      </c>
      <c r="O34" s="5">
        <f>E30*$D$32</f>
        <v>12.034058607345216</v>
      </c>
      <c r="P34" s="5">
        <f>F30*$D$32</f>
        <v>7.0997395913541093</v>
      </c>
      <c r="Q34" s="5"/>
      <c r="R34" s="5"/>
      <c r="S34" s="6"/>
    </row>
    <row r="35" spans="1:19" x14ac:dyDescent="0.3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6"/>
    </row>
    <row r="36" spans="1:19" x14ac:dyDescent="0.3">
      <c r="A36" s="11" t="s">
        <v>24</v>
      </c>
      <c r="B36" s="12">
        <f>B29+B34</f>
        <v>132.85714285714283</v>
      </c>
      <c r="C36" s="12">
        <f t="shared" ref="C36:P36" si="11">C29+C34</f>
        <v>99.040342156044815</v>
      </c>
      <c r="D36" s="12">
        <f t="shared" si="11"/>
        <v>101.92506816522392</v>
      </c>
      <c r="E36" s="12">
        <f t="shared" si="11"/>
        <v>97.792211711171717</v>
      </c>
      <c r="F36" s="12">
        <f t="shared" si="11"/>
        <v>107.69452018358214</v>
      </c>
      <c r="G36" s="12">
        <f t="shared" si="11"/>
        <v>132.85714285714283</v>
      </c>
      <c r="H36" s="12">
        <f t="shared" si="11"/>
        <v>164.92487919130423</v>
      </c>
      <c r="I36" s="12">
        <f t="shared" si="11"/>
        <v>171.68516620255741</v>
      </c>
      <c r="J36" s="12">
        <f t="shared" si="11"/>
        <v>229.17372968148311</v>
      </c>
      <c r="K36" s="12">
        <f t="shared" si="11"/>
        <v>185.20574022506378</v>
      </c>
      <c r="L36" s="12">
        <f t="shared" si="11"/>
        <v>44.285714285714285</v>
      </c>
      <c r="M36" s="12">
        <f t="shared" si="11"/>
        <v>56.034778652650992</v>
      </c>
      <c r="N36" s="12">
        <f t="shared" si="11"/>
        <v>56.389765632218698</v>
      </c>
      <c r="O36" s="12">
        <f t="shared" si="11"/>
        <v>13.034058607345216</v>
      </c>
      <c r="P36" s="12">
        <f t="shared" si="11"/>
        <v>57.099739591354108</v>
      </c>
      <c r="Q36" s="7"/>
      <c r="R36" s="7"/>
      <c r="S36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82DC-D52E-4784-B73A-D1A75361C8B6}">
  <dimension ref="A1:V38"/>
  <sheetViews>
    <sheetView workbookViewId="0">
      <selection activeCell="B13" sqref="B13"/>
    </sheetView>
  </sheetViews>
  <sheetFormatPr defaultRowHeight="14.4" x14ac:dyDescent="0.3"/>
  <cols>
    <col min="1" max="1" width="10.88671875" customWidth="1"/>
    <col min="2" max="2" width="9.77734375" customWidth="1"/>
    <col min="19" max="19" width="9.109375" bestFit="1" customWidth="1"/>
  </cols>
  <sheetData>
    <row r="1" spans="1:22" x14ac:dyDescent="0.3">
      <c r="A1" s="1" t="s">
        <v>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5"/>
      <c r="U1" s="5"/>
    </row>
    <row r="2" spans="1:22" x14ac:dyDescent="0.3">
      <c r="A2" s="4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15" t="s">
        <v>30</v>
      </c>
      <c r="H2" s="5" t="s">
        <v>0</v>
      </c>
      <c r="I2" s="5" t="s">
        <v>1</v>
      </c>
      <c r="J2" s="5" t="s">
        <v>2</v>
      </c>
      <c r="K2" s="5" t="s">
        <v>3</v>
      </c>
      <c r="L2" s="5" t="s">
        <v>4</v>
      </c>
      <c r="M2" s="15" t="s">
        <v>30</v>
      </c>
      <c r="N2" s="5" t="s">
        <v>0</v>
      </c>
      <c r="O2" s="5" t="s">
        <v>1</v>
      </c>
      <c r="P2" s="5" t="s">
        <v>2</v>
      </c>
      <c r="Q2" s="5" t="s">
        <v>3</v>
      </c>
      <c r="R2" s="5" t="s">
        <v>4</v>
      </c>
      <c r="S2" s="16" t="s">
        <v>30</v>
      </c>
      <c r="T2" s="5"/>
      <c r="U2" s="5"/>
      <c r="V2" s="5"/>
    </row>
    <row r="3" spans="1:22" x14ac:dyDescent="0.3">
      <c r="A3" s="4" t="s">
        <v>6</v>
      </c>
      <c r="B3" s="5">
        <v>100</v>
      </c>
      <c r="C3" s="5">
        <v>100</v>
      </c>
      <c r="D3" s="5">
        <v>100</v>
      </c>
      <c r="E3" s="5">
        <v>100</v>
      </c>
      <c r="F3" s="5">
        <v>100</v>
      </c>
      <c r="G3" s="5">
        <v>100</v>
      </c>
      <c r="H3" s="5">
        <v>200</v>
      </c>
      <c r="I3" s="5">
        <v>200</v>
      </c>
      <c r="J3" s="5">
        <v>200</v>
      </c>
      <c r="K3" s="5">
        <v>200</v>
      </c>
      <c r="L3" s="5">
        <v>200</v>
      </c>
      <c r="M3" s="5">
        <v>200</v>
      </c>
      <c r="N3" s="5">
        <v>1</v>
      </c>
      <c r="O3" s="5">
        <v>2</v>
      </c>
      <c r="P3" s="5">
        <v>3</v>
      </c>
      <c r="Q3" s="5">
        <v>4</v>
      </c>
      <c r="R3" s="5">
        <v>5</v>
      </c>
      <c r="S3" s="6">
        <v>6</v>
      </c>
      <c r="T3" s="5"/>
      <c r="U3" s="5"/>
      <c r="V3" s="5"/>
    </row>
    <row r="4" spans="1:22" x14ac:dyDescent="0.3">
      <c r="A4" s="4" t="s">
        <v>5</v>
      </c>
      <c r="B4" s="5">
        <v>50</v>
      </c>
      <c r="C4" s="5">
        <v>50</v>
      </c>
      <c r="D4" s="5">
        <v>50</v>
      </c>
      <c r="E4" s="5">
        <v>0</v>
      </c>
      <c r="F4" s="5">
        <v>50</v>
      </c>
      <c r="G4" s="5">
        <v>50</v>
      </c>
      <c r="H4" s="5">
        <v>50</v>
      </c>
      <c r="I4" s="5">
        <v>50</v>
      </c>
      <c r="J4" s="5">
        <v>50</v>
      </c>
      <c r="K4" s="5">
        <v>0</v>
      </c>
      <c r="L4" s="5">
        <v>50</v>
      </c>
      <c r="M4" s="15">
        <v>0</v>
      </c>
      <c r="N4" s="5">
        <v>10</v>
      </c>
      <c r="O4" s="5">
        <v>50</v>
      </c>
      <c r="P4" s="5">
        <v>50</v>
      </c>
      <c r="Q4" s="5">
        <v>0</v>
      </c>
      <c r="R4" s="5">
        <v>50</v>
      </c>
      <c r="S4" s="6">
        <v>50</v>
      </c>
      <c r="T4" s="5"/>
      <c r="U4" s="5"/>
      <c r="V4" s="5"/>
    </row>
    <row r="5" spans="1:22" x14ac:dyDescent="0.3">
      <c r="A5" s="14" t="s">
        <v>31</v>
      </c>
      <c r="B5" s="5">
        <v>300</v>
      </c>
      <c r="C5" s="5">
        <v>300</v>
      </c>
      <c r="D5" s="5">
        <v>305</v>
      </c>
      <c r="E5" s="5">
        <v>305</v>
      </c>
      <c r="F5" s="5">
        <v>300</v>
      </c>
      <c r="G5" s="5">
        <v>300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  <c r="T5" s="5"/>
      <c r="U5" s="5"/>
      <c r="V5" s="5"/>
    </row>
    <row r="6" spans="1:22" x14ac:dyDescent="0.3">
      <c r="A6" s="4" t="s">
        <v>7</v>
      </c>
      <c r="B6" s="5">
        <f t="shared" ref="B6:G7" si="0">SUM(B3,H3,N3)</f>
        <v>301</v>
      </c>
      <c r="C6" s="5">
        <f t="shared" si="0"/>
        <v>302</v>
      </c>
      <c r="D6" s="5">
        <f t="shared" si="0"/>
        <v>303</v>
      </c>
      <c r="E6" s="5">
        <f t="shared" si="0"/>
        <v>304</v>
      </c>
      <c r="F6" s="5">
        <f t="shared" si="0"/>
        <v>305</v>
      </c>
      <c r="G6" s="5">
        <f t="shared" si="0"/>
        <v>306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6"/>
      <c r="T6" s="5"/>
      <c r="U6" s="5"/>
      <c r="V6" s="5"/>
    </row>
    <row r="7" spans="1:22" x14ac:dyDescent="0.3">
      <c r="A7" s="4" t="s">
        <v>5</v>
      </c>
      <c r="B7" s="5">
        <f t="shared" si="0"/>
        <v>110</v>
      </c>
      <c r="C7" s="5">
        <f t="shared" si="0"/>
        <v>150</v>
      </c>
      <c r="D7" s="5">
        <f t="shared" si="0"/>
        <v>150</v>
      </c>
      <c r="E7" s="5">
        <f t="shared" si="0"/>
        <v>0</v>
      </c>
      <c r="F7" s="5">
        <f t="shared" si="0"/>
        <v>150</v>
      </c>
      <c r="G7" s="5">
        <f t="shared" si="0"/>
        <v>100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6"/>
      <c r="T7" s="5"/>
      <c r="U7" s="5"/>
      <c r="V7" s="5"/>
    </row>
    <row r="8" spans="1:22" x14ac:dyDescent="0.3">
      <c r="A8" s="9" t="s">
        <v>8</v>
      </c>
      <c r="B8" s="10">
        <v>1</v>
      </c>
      <c r="C8" s="10">
        <v>1.5</v>
      </c>
      <c r="D8" s="10">
        <v>2.5</v>
      </c>
      <c r="E8" s="10">
        <v>2.5</v>
      </c>
      <c r="F8" s="10">
        <v>3.5</v>
      </c>
      <c r="G8" s="10">
        <v>10</v>
      </c>
      <c r="H8" s="5"/>
      <c r="I8" s="10" t="s">
        <v>33</v>
      </c>
      <c r="J8" s="10"/>
      <c r="K8" s="10">
        <v>0.5</v>
      </c>
      <c r="L8" s="5"/>
      <c r="M8" s="5"/>
      <c r="N8" s="5"/>
      <c r="O8" s="5"/>
      <c r="P8" s="5"/>
      <c r="Q8" s="5"/>
      <c r="R8" s="5"/>
      <c r="S8" s="6"/>
      <c r="T8" s="5"/>
      <c r="U8" s="5"/>
    </row>
    <row r="9" spans="1:22" x14ac:dyDescent="0.3">
      <c r="A9" s="4" t="s">
        <v>29</v>
      </c>
      <c r="B9" s="5">
        <f t="shared" ref="B9:G9" si="1">IF(B7*B8/B6=0,B8,B7*B8/B6)</f>
        <v>0.36544850498338871</v>
      </c>
      <c r="C9" s="5">
        <f t="shared" si="1"/>
        <v>0.74503311258278149</v>
      </c>
      <c r="D9" s="5">
        <f t="shared" si="1"/>
        <v>1.2376237623762376</v>
      </c>
      <c r="E9" s="5">
        <f t="shared" si="1"/>
        <v>2.5</v>
      </c>
      <c r="F9" s="5">
        <f t="shared" si="1"/>
        <v>1.721311475409836</v>
      </c>
      <c r="G9" s="5">
        <f t="shared" si="1"/>
        <v>3.2679738562091503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6"/>
      <c r="T9" s="5"/>
      <c r="U9" s="5"/>
    </row>
    <row r="10" spans="1:22" x14ac:dyDescent="0.3">
      <c r="A10" s="18" t="s">
        <v>35</v>
      </c>
      <c r="B10" s="5">
        <f>(B5-B6)</f>
        <v>-1</v>
      </c>
      <c r="C10" s="5">
        <f t="shared" ref="C10:G10" si="2">(C5-C6)</f>
        <v>-2</v>
      </c>
      <c r="D10" s="5">
        <f t="shared" si="2"/>
        <v>2</v>
      </c>
      <c r="E10" s="5">
        <f t="shared" si="2"/>
        <v>1</v>
      </c>
      <c r="F10" s="5">
        <f t="shared" si="2"/>
        <v>-5</v>
      </c>
      <c r="G10" s="5">
        <f t="shared" si="2"/>
        <v>-6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6"/>
      <c r="T10" s="5"/>
      <c r="U10" s="5"/>
    </row>
    <row r="11" spans="1:22" x14ac:dyDescent="0.3">
      <c r="A11" s="14" t="s">
        <v>32</v>
      </c>
      <c r="B11" s="5">
        <f>EXP(B10)*B8</f>
        <v>0.36787944117144233</v>
      </c>
      <c r="C11" s="5">
        <f t="shared" ref="C11:G11" si="3">EXP(C10)*C8</f>
        <v>0.20300292485491905</v>
      </c>
      <c r="D11" s="5">
        <f t="shared" si="3"/>
        <v>18.472640247326627</v>
      </c>
      <c r="E11" s="5">
        <f t="shared" si="3"/>
        <v>6.7957045711476125</v>
      </c>
      <c r="F11" s="5">
        <f t="shared" si="3"/>
        <v>2.3582814496799134E-2</v>
      </c>
      <c r="G11" s="5">
        <f t="shared" si="3"/>
        <v>2.4787521766663587E-2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6"/>
      <c r="T11" s="5"/>
      <c r="U11" s="5"/>
    </row>
    <row r="12" spans="1:22" x14ac:dyDescent="0.3">
      <c r="A12" s="14" t="s">
        <v>9</v>
      </c>
      <c r="B12" s="5">
        <f>$K$8*B11+(1-$K$8)*B9</f>
        <v>0.36666397307741549</v>
      </c>
      <c r="C12" s="5">
        <f t="shared" ref="C12:G12" si="4">$K$8*C11+(1-$K$8)*C9</f>
        <v>0.4740180187188503</v>
      </c>
      <c r="D12" s="5">
        <f t="shared" si="4"/>
        <v>9.8551320048514324</v>
      </c>
      <c r="E12" s="5">
        <f t="shared" si="4"/>
        <v>4.6478522855738067</v>
      </c>
      <c r="F12" s="5">
        <f t="shared" si="4"/>
        <v>0.87244714495331754</v>
      </c>
      <c r="G12" s="5">
        <f t="shared" si="4"/>
        <v>1.6463806889879069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6"/>
      <c r="T12" s="5"/>
      <c r="U12" s="5"/>
    </row>
    <row r="13" spans="1:22" x14ac:dyDescent="0.3">
      <c r="A13" s="17" t="s">
        <v>34</v>
      </c>
      <c r="B13" s="7">
        <f>B12/B8</f>
        <v>0.36666397307741549</v>
      </c>
      <c r="C13" s="7">
        <f t="shared" ref="C13:G13" si="5">C12/C8</f>
        <v>0.31601201247923355</v>
      </c>
      <c r="D13" s="7">
        <f t="shared" si="5"/>
        <v>3.9420528019405729</v>
      </c>
      <c r="E13" s="7">
        <f t="shared" si="5"/>
        <v>1.8591409142295228</v>
      </c>
      <c r="F13" s="7">
        <f t="shared" si="5"/>
        <v>0.249270612843805</v>
      </c>
      <c r="G13" s="7">
        <f t="shared" si="5"/>
        <v>0.16463806889879068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  <c r="T13" s="5"/>
      <c r="U13" s="5"/>
    </row>
    <row r="14" spans="1:22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2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2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5"/>
      <c r="S30" s="5"/>
      <c r="T30" s="5"/>
      <c r="U30" s="5"/>
    </row>
    <row r="31" spans="1:21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5"/>
      <c r="S31" s="5"/>
      <c r="T31" s="5"/>
      <c r="U31" s="5"/>
    </row>
    <row r="32" spans="1:21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5"/>
      <c r="S32" s="5"/>
      <c r="T32" s="5"/>
      <c r="U32" s="5"/>
    </row>
    <row r="33" spans="1:21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5"/>
      <c r="S33" s="5"/>
      <c r="T33" s="5"/>
      <c r="U33" s="5"/>
    </row>
    <row r="34" spans="1:21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5"/>
      <c r="S34" s="5"/>
      <c r="T34" s="5"/>
      <c r="U34" s="5"/>
    </row>
    <row r="35" spans="1:21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5"/>
      <c r="S35" s="5"/>
      <c r="T35" s="5"/>
      <c r="U35" s="5"/>
    </row>
    <row r="36" spans="1:21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1:21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spans="1:21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598A-8259-4338-8AE6-28C7B9471E26}">
  <dimension ref="A1:T25"/>
  <sheetViews>
    <sheetView tabSelected="1" workbookViewId="0">
      <selection activeCell="F23" sqref="F23"/>
    </sheetView>
  </sheetViews>
  <sheetFormatPr defaultColWidth="10.109375" defaultRowHeight="14.4" x14ac:dyDescent="0.3"/>
  <sheetData>
    <row r="1" spans="1:19" x14ac:dyDescent="0.3">
      <c r="A1" t="s">
        <v>36</v>
      </c>
      <c r="B1" t="s">
        <v>37</v>
      </c>
      <c r="C1" t="s">
        <v>38</v>
      </c>
      <c r="D1" t="s">
        <v>39</v>
      </c>
      <c r="E1" t="s">
        <v>36</v>
      </c>
      <c r="F1" t="s">
        <v>37</v>
      </c>
      <c r="G1" t="s">
        <v>38</v>
      </c>
      <c r="H1" t="s">
        <v>39</v>
      </c>
      <c r="I1" t="s">
        <v>36</v>
      </c>
      <c r="J1" t="s">
        <v>37</v>
      </c>
      <c r="K1" t="s">
        <v>38</v>
      </c>
      <c r="L1" t="s">
        <v>39</v>
      </c>
      <c r="M1" t="s">
        <v>36</v>
      </c>
      <c r="N1" t="s">
        <v>37</v>
      </c>
      <c r="O1" t="s">
        <v>38</v>
      </c>
      <c r="P1" t="s">
        <v>39</v>
      </c>
      <c r="R1" s="19" t="s">
        <v>40</v>
      </c>
      <c r="S1" s="19" t="s">
        <v>41</v>
      </c>
    </row>
    <row r="2" spans="1:19" x14ac:dyDescent="0.3">
      <c r="A2">
        <v>20</v>
      </c>
      <c r="B2">
        <v>30</v>
      </c>
      <c r="C2">
        <v>0</v>
      </c>
      <c r="D2">
        <v>0.5</v>
      </c>
      <c r="E2">
        <v>30</v>
      </c>
      <c r="F2">
        <v>0</v>
      </c>
      <c r="G2">
        <v>0</v>
      </c>
      <c r="H2">
        <v>0.3</v>
      </c>
      <c r="I2">
        <v>40</v>
      </c>
      <c r="J2">
        <v>20</v>
      </c>
      <c r="K2">
        <v>0</v>
      </c>
      <c r="L2">
        <v>0.25</v>
      </c>
      <c r="M2">
        <v>50</v>
      </c>
      <c r="N2">
        <v>10</v>
      </c>
      <c r="O2">
        <v>1</v>
      </c>
      <c r="P2">
        <v>0.35</v>
      </c>
      <c r="R2" s="19">
        <v>0.3</v>
      </c>
      <c r="S2" s="19">
        <v>10</v>
      </c>
    </row>
    <row r="3" spans="1:19" x14ac:dyDescent="0.3">
      <c r="E3" t="s">
        <v>43</v>
      </c>
      <c r="F3" t="s">
        <v>42</v>
      </c>
      <c r="H3" t="s">
        <v>44</v>
      </c>
      <c r="L3" s="19" t="s">
        <v>63</v>
      </c>
      <c r="M3" s="19"/>
      <c r="N3" s="19">
        <v>1</v>
      </c>
      <c r="O3" s="19">
        <v>1.5</v>
      </c>
      <c r="P3" s="19">
        <v>2.5</v>
      </c>
      <c r="Q3" s="19">
        <v>2.5</v>
      </c>
      <c r="R3" s="19">
        <v>3.5</v>
      </c>
    </row>
    <row r="4" spans="1:19" ht="15" thickBot="1" x14ac:dyDescent="0.35">
      <c r="E4" s="21">
        <f>MIN(A2*C2+E2*G2+I2*K2+M2*O2,F4)</f>
        <v>50</v>
      </c>
      <c r="F4" s="21">
        <f>B2+F2+J2+N2</f>
        <v>60</v>
      </c>
      <c r="G4" s="21"/>
      <c r="H4">
        <f>E4/F4</f>
        <v>0.83333333333333337</v>
      </c>
      <c r="J4" s="19" t="s">
        <v>72</v>
      </c>
      <c r="K4" s="19"/>
      <c r="N4" t="s">
        <v>0</v>
      </c>
      <c r="O4" t="s">
        <v>1</v>
      </c>
      <c r="P4" t="s">
        <v>2</v>
      </c>
      <c r="Q4" t="s">
        <v>3</v>
      </c>
      <c r="R4" t="s">
        <v>4</v>
      </c>
    </row>
    <row r="5" spans="1:19" x14ac:dyDescent="0.3">
      <c r="A5" t="s">
        <v>74</v>
      </c>
      <c r="D5">
        <f>D2</f>
        <v>0.5</v>
      </c>
      <c r="E5">
        <f>H2</f>
        <v>0.3</v>
      </c>
      <c r="F5">
        <f>L2</f>
        <v>0.25</v>
      </c>
      <c r="G5">
        <f>P2</f>
        <v>0.35</v>
      </c>
      <c r="J5" s="19">
        <v>0.05</v>
      </c>
      <c r="M5" s="19" t="s">
        <v>70</v>
      </c>
      <c r="N5" s="19">
        <v>2</v>
      </c>
      <c r="O5" s="20">
        <v>1.5</v>
      </c>
      <c r="P5" s="19">
        <v>3</v>
      </c>
      <c r="Q5" s="19">
        <v>0.75</v>
      </c>
      <c r="R5" s="19">
        <v>1</v>
      </c>
    </row>
    <row r="6" spans="1:19" x14ac:dyDescent="0.3">
      <c r="A6" t="s">
        <v>45</v>
      </c>
      <c r="D6">
        <f>MAX(D2,$R$2)*(B2&gt;0)</f>
        <v>0.5</v>
      </c>
      <c r="E6">
        <f>MAX(H2,$R$2)*(F2&gt;0)</f>
        <v>0</v>
      </c>
      <c r="F6">
        <f>MAX(L2,$R$2)*(J2&gt;0)</f>
        <v>0.3</v>
      </c>
      <c r="G6">
        <f>MAX(P2,$R$2)*(N2&gt;0)</f>
        <v>0.35</v>
      </c>
      <c r="M6" t="s">
        <v>47</v>
      </c>
      <c r="N6">
        <f>N5/SUM($N5:$Q5)</f>
        <v>0.27586206896551724</v>
      </c>
      <c r="O6">
        <f t="shared" ref="O6:Q6" si="0">O5/SUM($N5:$Q5)</f>
        <v>0.20689655172413793</v>
      </c>
      <c r="P6">
        <f t="shared" si="0"/>
        <v>0.41379310344827586</v>
      </c>
      <c r="Q6">
        <f t="shared" si="0"/>
        <v>0.10344827586206896</v>
      </c>
    </row>
    <row r="7" spans="1:19" x14ac:dyDescent="0.3">
      <c r="A7" t="s">
        <v>46</v>
      </c>
      <c r="D7">
        <f>A2*C2/$E$4</f>
        <v>0</v>
      </c>
      <c r="E7">
        <f>E2*G2/$E$4</f>
        <v>0</v>
      </c>
      <c r="F7">
        <f>I2*K2/$E$4</f>
        <v>0</v>
      </c>
      <c r="G7">
        <f>M2*O2/$E$4</f>
        <v>1</v>
      </c>
      <c r="M7" t="s">
        <v>48</v>
      </c>
      <c r="N7">
        <f>$E$4*N6</f>
        <v>13.793103448275861</v>
      </c>
      <c r="O7">
        <f t="shared" ref="O7:Q7" si="1">$E$4*O6</f>
        <v>10.344827586206897</v>
      </c>
      <c r="P7">
        <f t="shared" si="1"/>
        <v>20.689655172413794</v>
      </c>
      <c r="Q7">
        <f t="shared" si="1"/>
        <v>5.1724137931034484</v>
      </c>
    </row>
    <row r="8" spans="1:19" x14ac:dyDescent="0.3">
      <c r="B8" t="s">
        <v>54</v>
      </c>
      <c r="D8">
        <f>D6/SUM($D6:$G6)</f>
        <v>0.43478260869565222</v>
      </c>
      <c r="E8">
        <f t="shared" ref="E8:G8" si="2">E6/SUM($D6:$G6)</f>
        <v>0</v>
      </c>
      <c r="F8">
        <f t="shared" si="2"/>
        <v>0.2608695652173913</v>
      </c>
      <c r="G8">
        <f t="shared" si="2"/>
        <v>0.30434782608695654</v>
      </c>
      <c r="M8" s="19" t="s">
        <v>49</v>
      </c>
      <c r="N8" s="19">
        <v>1</v>
      </c>
      <c r="O8" s="20">
        <v>1.5</v>
      </c>
      <c r="P8" s="19">
        <v>0.7</v>
      </c>
      <c r="Q8" s="19">
        <v>1.2</v>
      </c>
    </row>
    <row r="9" spans="1:19" x14ac:dyDescent="0.3">
      <c r="B9" t="s">
        <v>55</v>
      </c>
      <c r="D9">
        <f>D8*$E$4</f>
        <v>21.739130434782609</v>
      </c>
      <c r="E9">
        <f t="shared" ref="E9:G9" si="3">E8*$E$4</f>
        <v>0</v>
      </c>
      <c r="F9">
        <f t="shared" si="3"/>
        <v>13.043478260869565</v>
      </c>
      <c r="G9">
        <f t="shared" si="3"/>
        <v>15.217391304347828</v>
      </c>
      <c r="H9" t="s">
        <v>53</v>
      </c>
      <c r="M9" t="s">
        <v>50</v>
      </c>
      <c r="N9">
        <f>N8*N7</f>
        <v>13.793103448275861</v>
      </c>
      <c r="O9">
        <f t="shared" ref="O9:Q9" si="4">O8*O7</f>
        <v>15.517241379310345</v>
      </c>
      <c r="P9">
        <f t="shared" si="4"/>
        <v>14.482758620689655</v>
      </c>
      <c r="Q9">
        <f t="shared" si="4"/>
        <v>6.2068965517241379</v>
      </c>
    </row>
    <row r="10" spans="1:19" x14ac:dyDescent="0.3">
      <c r="B10" t="s">
        <v>56</v>
      </c>
      <c r="D10">
        <f>MAX(D9-B$2,0)</f>
        <v>0</v>
      </c>
      <c r="E10">
        <f>MAX(E9-F$2,0)</f>
        <v>0</v>
      </c>
      <c r="F10">
        <f>MAX(F9-J$2,0)</f>
        <v>0</v>
      </c>
      <c r="G10">
        <f>MAX(G9-N$2,0)</f>
        <v>5.2173913043478279</v>
      </c>
      <c r="H10">
        <f>SUM(D10:G10)</f>
        <v>5.2173913043478279</v>
      </c>
      <c r="M10" s="19" t="s">
        <v>52</v>
      </c>
      <c r="N10" s="19">
        <v>0.15</v>
      </c>
      <c r="O10">
        <f>N10</f>
        <v>0.15</v>
      </c>
      <c r="P10" s="19">
        <v>0.2</v>
      </c>
      <c r="Q10">
        <f>P10</f>
        <v>0.2</v>
      </c>
      <c r="R10" t="s">
        <v>53</v>
      </c>
    </row>
    <row r="11" spans="1:19" x14ac:dyDescent="0.3">
      <c r="B11" t="s">
        <v>58</v>
      </c>
      <c r="D11">
        <f>D6*(D10=0)</f>
        <v>0.5</v>
      </c>
      <c r="E11">
        <f t="shared" ref="E11:G11" si="5">E6*(E10=0)</f>
        <v>0</v>
      </c>
      <c r="F11">
        <f t="shared" si="5"/>
        <v>0.3</v>
      </c>
      <c r="G11">
        <f t="shared" si="5"/>
        <v>0</v>
      </c>
      <c r="M11" t="s">
        <v>51</v>
      </c>
      <c r="N11">
        <f>N7*N10</f>
        <v>2.068965517241379</v>
      </c>
      <c r="O11">
        <f t="shared" ref="O11:Q11" si="6">O7*O10</f>
        <v>1.5517241379310345</v>
      </c>
      <c r="P11">
        <f t="shared" si="6"/>
        <v>4.1379310344827589</v>
      </c>
      <c r="Q11">
        <f t="shared" si="6"/>
        <v>1.0344827586206897</v>
      </c>
      <c r="R11">
        <f>SUM(N11:Q11)</f>
        <v>8.793103448275863</v>
      </c>
      <c r="S11" t="s">
        <v>53</v>
      </c>
    </row>
    <row r="12" spans="1:19" x14ac:dyDescent="0.3">
      <c r="B12" t="s">
        <v>57</v>
      </c>
      <c r="D12">
        <f>D11/SUM($D11:$G11)*SUM($D10:$G10)</f>
        <v>3.2608695652173925</v>
      </c>
      <c r="E12">
        <f t="shared" ref="E12:G12" si="7">E11/SUM($D11:$G11)*SUM($D10:$G10)</f>
        <v>0</v>
      </c>
      <c r="F12">
        <f t="shared" si="7"/>
        <v>1.9565217391304353</v>
      </c>
      <c r="G12">
        <f t="shared" si="7"/>
        <v>0</v>
      </c>
      <c r="L12" s="13" t="s">
        <v>61</v>
      </c>
      <c r="N12">
        <f>N9*N5*N3</f>
        <v>27.586206896551722</v>
      </c>
      <c r="O12">
        <f t="shared" ref="O12:Q12" si="8">O9*O5*O3</f>
        <v>34.91379310344827</v>
      </c>
      <c r="P12">
        <f t="shared" si="8"/>
        <v>108.62068965517241</v>
      </c>
      <c r="Q12">
        <f t="shared" si="8"/>
        <v>11.637931034482758</v>
      </c>
      <c r="S12">
        <f>SUM(N12:Q12)</f>
        <v>182.75862068965517</v>
      </c>
    </row>
    <row r="13" spans="1:19" x14ac:dyDescent="0.3">
      <c r="B13" t="s">
        <v>59</v>
      </c>
      <c r="D13">
        <f>D9-D10+D12</f>
        <v>25</v>
      </c>
      <c r="E13">
        <f t="shared" ref="E13:G13" si="9">E9-E10+E12</f>
        <v>0</v>
      </c>
      <c r="F13">
        <f t="shared" si="9"/>
        <v>15</v>
      </c>
      <c r="G13">
        <f t="shared" si="9"/>
        <v>10</v>
      </c>
      <c r="H13" t="s">
        <v>53</v>
      </c>
      <c r="L13" t="s">
        <v>62</v>
      </c>
      <c r="R13">
        <f>R11*R5*R3</f>
        <v>30.77586206896552</v>
      </c>
      <c r="S13">
        <f>R13</f>
        <v>30.77586206896552</v>
      </c>
    </row>
    <row r="14" spans="1:19" x14ac:dyDescent="0.3">
      <c r="B14" t="s">
        <v>56</v>
      </c>
      <c r="D14">
        <f>MAX(D13-B$2,0)</f>
        <v>0</v>
      </c>
      <c r="E14">
        <f>MAX(E13-F$2,0)</f>
        <v>0</v>
      </c>
      <c r="F14">
        <f>MAX(F13-J$2,0)</f>
        <v>0</v>
      </c>
      <c r="G14">
        <f>MAX(G13-N$2,0)</f>
        <v>0</v>
      </c>
      <c r="H14">
        <f>SUM(D14:G14)</f>
        <v>0</v>
      </c>
      <c r="R14" t="s">
        <v>44</v>
      </c>
      <c r="S14">
        <f>S13/S12</f>
        <v>0.16839622641509436</v>
      </c>
    </row>
    <row r="15" spans="1:19" x14ac:dyDescent="0.3">
      <c r="B15" t="s">
        <v>60</v>
      </c>
      <c r="D15" t="b">
        <f>D13&lt;$H$4*B2</f>
        <v>0</v>
      </c>
      <c r="E15" t="b">
        <f>E13&lt;$H$4*F2</f>
        <v>0</v>
      </c>
      <c r="F15" t="b">
        <f>F13&lt;$H$4*J2</f>
        <v>1</v>
      </c>
      <c r="G15" t="b">
        <f>G13&lt;$H$4*N2</f>
        <v>0</v>
      </c>
      <c r="I15" t="str">
        <f>IF(F15,"P","N")</f>
        <v>P</v>
      </c>
      <c r="R15" t="s">
        <v>65</v>
      </c>
      <c r="S15">
        <f>1-S14</f>
        <v>0.83160377358490567</v>
      </c>
    </row>
    <row r="16" spans="1:19" x14ac:dyDescent="0.3">
      <c r="B16" t="s">
        <v>64</v>
      </c>
      <c r="D16">
        <f>D13/SUM($D13:$G13)</f>
        <v>0.5</v>
      </c>
      <c r="E16">
        <f t="shared" ref="E16:G16" si="10">E13/SUM($D13:$G13)</f>
        <v>0</v>
      </c>
      <c r="F16">
        <f t="shared" si="10"/>
        <v>0.3</v>
      </c>
      <c r="G16">
        <f t="shared" si="10"/>
        <v>0.2</v>
      </c>
    </row>
    <row r="17" spans="1:20" x14ac:dyDescent="0.3">
      <c r="B17" t="s">
        <v>66</v>
      </c>
      <c r="D17">
        <f>D16*(1-D6)</f>
        <v>0.25</v>
      </c>
      <c r="E17">
        <f t="shared" ref="E17:G17" si="11">E16*(1-E6)</f>
        <v>0</v>
      </c>
      <c r="F17">
        <f t="shared" si="11"/>
        <v>0.21</v>
      </c>
      <c r="G17">
        <f t="shared" si="11"/>
        <v>0.13</v>
      </c>
    </row>
    <row r="18" spans="1:20" x14ac:dyDescent="0.3">
      <c r="B18" t="s">
        <v>67</v>
      </c>
      <c r="D18">
        <f>D7*(1-SUM($D17:$G17))</f>
        <v>0</v>
      </c>
      <c r="E18">
        <f t="shared" ref="E18:G18" si="12">E7*(1-SUM($D17:$G17))</f>
        <v>0</v>
      </c>
      <c r="F18">
        <f t="shared" si="12"/>
        <v>0</v>
      </c>
      <c r="G18">
        <f t="shared" si="12"/>
        <v>0.41000000000000003</v>
      </c>
    </row>
    <row r="19" spans="1:20" x14ac:dyDescent="0.3">
      <c r="B19" t="s">
        <v>68</v>
      </c>
      <c r="D19">
        <f>D18+D17</f>
        <v>0.25</v>
      </c>
      <c r="E19">
        <f t="shared" ref="E19:G19" si="13">E18+E17</f>
        <v>0</v>
      </c>
      <c r="F19">
        <f t="shared" si="13"/>
        <v>0.21</v>
      </c>
      <c r="G19">
        <f t="shared" si="13"/>
        <v>0.54</v>
      </c>
    </row>
    <row r="20" spans="1:20" x14ac:dyDescent="0.3">
      <c r="B20" t="s">
        <v>69</v>
      </c>
      <c r="D20">
        <f>D16</f>
        <v>0.5</v>
      </c>
      <c r="E20">
        <f t="shared" ref="E20:G20" si="14">E16</f>
        <v>0</v>
      </c>
      <c r="F20">
        <f t="shared" si="14"/>
        <v>0.3</v>
      </c>
      <c r="G20">
        <f t="shared" si="14"/>
        <v>0.2</v>
      </c>
    </row>
    <row r="21" spans="1:20" x14ac:dyDescent="0.3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0</v>
      </c>
      <c r="G21" t="s">
        <v>1</v>
      </c>
      <c r="H21" t="s">
        <v>2</v>
      </c>
      <c r="I21" t="s">
        <v>3</v>
      </c>
      <c r="J21" t="s">
        <v>4</v>
      </c>
      <c r="K21" t="s">
        <v>0</v>
      </c>
      <c r="L21" t="s">
        <v>1</v>
      </c>
      <c r="M21" t="s">
        <v>2</v>
      </c>
      <c r="N21" t="s">
        <v>3</v>
      </c>
      <c r="O21" t="s">
        <v>4</v>
      </c>
      <c r="P21" t="s">
        <v>0</v>
      </c>
      <c r="Q21" t="s">
        <v>1</v>
      </c>
      <c r="R21" t="s">
        <v>2</v>
      </c>
      <c r="S21" t="s">
        <v>3</v>
      </c>
      <c r="T21" t="s">
        <v>4</v>
      </c>
    </row>
    <row r="22" spans="1:20" x14ac:dyDescent="0.3">
      <c r="A22" s="22">
        <f>N9*$D19</f>
        <v>3.4482758620689653</v>
      </c>
      <c r="B22" s="22">
        <f t="shared" ref="B22:C22" si="15">O9*$D19</f>
        <v>3.8793103448275863</v>
      </c>
      <c r="C22" s="22">
        <f t="shared" si="15"/>
        <v>3.6206896551724137</v>
      </c>
      <c r="D22" s="22">
        <f>Q9*$D19</f>
        <v>1.5517241379310345</v>
      </c>
      <c r="E22" s="22">
        <f>-R11*D20</f>
        <v>-4.3965517241379315</v>
      </c>
      <c r="F22" s="22">
        <f>N9*$E19</f>
        <v>0</v>
      </c>
      <c r="G22" s="22">
        <f t="shared" ref="G22:I22" si="16">O9*$E19</f>
        <v>0</v>
      </c>
      <c r="H22" s="22">
        <f t="shared" si="16"/>
        <v>0</v>
      </c>
      <c r="I22" s="22">
        <f t="shared" si="16"/>
        <v>0</v>
      </c>
      <c r="J22" s="22">
        <f>-R11*E20</f>
        <v>0</v>
      </c>
      <c r="K22" s="22">
        <f>N9*$F19</f>
        <v>2.8965517241379306</v>
      </c>
      <c r="L22" s="22">
        <f t="shared" ref="L22:N22" si="17">O9*$F19</f>
        <v>3.2586206896551722</v>
      </c>
      <c r="M22" s="22">
        <f t="shared" si="17"/>
        <v>3.0413793103448272</v>
      </c>
      <c r="N22" s="22">
        <f t="shared" si="17"/>
        <v>1.3034482758620689</v>
      </c>
      <c r="O22" s="22">
        <f>-R11*F20</f>
        <v>-2.6379310344827589</v>
      </c>
      <c r="P22" s="22">
        <f>N9*$G19</f>
        <v>7.4482758620689653</v>
      </c>
      <c r="Q22" s="22">
        <f t="shared" ref="Q22:S22" si="18">O9*$G19</f>
        <v>8.3793103448275872</v>
      </c>
      <c r="R22" s="22">
        <f t="shared" si="18"/>
        <v>7.8206896551724139</v>
      </c>
      <c r="S22" s="22">
        <f t="shared" si="18"/>
        <v>3.3517241379310345</v>
      </c>
      <c r="T22" s="22">
        <f>-R11*G20</f>
        <v>-1.7586206896551726</v>
      </c>
    </row>
    <row r="23" spans="1:20" x14ac:dyDescent="0.3">
      <c r="B23" t="s">
        <v>71</v>
      </c>
      <c r="D23">
        <f>IF(D5&lt;=D6,IF(D15,D6+$J$5,D6-$J$5),D5)</f>
        <v>0.45</v>
      </c>
      <c r="E23">
        <f>IF(E5&lt;=E6,IF(E15,E6+$J$5,E6-$J$5),E5)</f>
        <v>0.3</v>
      </c>
      <c r="F23">
        <f>IF(F5&lt;=F6,IF(F15,F6+$J$5,F6-$J$5),F5)</f>
        <v>0.35</v>
      </c>
      <c r="G23">
        <f>IF(G5&lt;=G6,IF(G15,G6+$J$5,G6-$J$5),G5)</f>
        <v>0.3</v>
      </c>
    </row>
    <row r="24" spans="1:20" x14ac:dyDescent="0.3">
      <c r="B24" t="s">
        <v>73</v>
      </c>
      <c r="D24">
        <f>MAX(D23,0)</f>
        <v>0.45</v>
      </c>
      <c r="E24">
        <f t="shared" ref="E24:G24" si="19">MAX(E23,0)</f>
        <v>0.3</v>
      </c>
      <c r="F24">
        <f t="shared" si="19"/>
        <v>0.35</v>
      </c>
      <c r="G24">
        <f t="shared" si="19"/>
        <v>0.3</v>
      </c>
    </row>
    <row r="25" spans="1:20" x14ac:dyDescent="0.3">
      <c r="A25" t="s">
        <v>75</v>
      </c>
      <c r="D25" s="22">
        <f>MIN(D24,$S$15)</f>
        <v>0.45</v>
      </c>
      <c r="E25" s="22">
        <f t="shared" ref="E25:G25" si="20">MIN(E24,$S$15)</f>
        <v>0.3</v>
      </c>
      <c r="F25" s="22">
        <f t="shared" si="20"/>
        <v>0.35</v>
      </c>
      <c r="G25" s="22">
        <f t="shared" si="20"/>
        <v>0.3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2354AB7EC2EF24DA06C23106C803747" ma:contentTypeVersion="0" ma:contentTypeDescription="Utwórz nowy dokument." ma:contentTypeScope="" ma:versionID="12ac82f4b51530a6458e69da21eb09e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464ae2dfd1cba46ef3afe4b411115a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6D2B18-87B5-4836-ACC7-8887E858DF72}">
  <ds:schemaRefs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47172B1-7B3F-4042-89A5-9515C32B35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2D904AF-352E-4CDF-B047-9525628BC6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test_market.do_trade</vt:lpstr>
      <vt:lpstr>test_market.set_prices</vt:lpstr>
      <vt:lpstr>test_state_data.employ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Proboszcz</dc:creator>
  <cp:lastModifiedBy>Jakub Proboszcz</cp:lastModifiedBy>
  <dcterms:created xsi:type="dcterms:W3CDTF">2022-02-22T21:31:54Z</dcterms:created>
  <dcterms:modified xsi:type="dcterms:W3CDTF">2022-09-13T08:26:42Z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0x01010002354AB7EC2EF24DA06C23106C803747</vt:lpwstr>
  </property>
</Properties>
</file>