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timelines/timeline2.xml" ContentType="application/vnd.ms-excel.timelin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date1904="1" showInkAnnotation="0" autoCompressPictures="0"/>
  <mc:AlternateContent xmlns:mc="http://schemas.openxmlformats.org/markup-compatibility/2006">
    <mc:Choice Requires="x15">
      <x15ac:absPath xmlns:x15ac="http://schemas.microsoft.com/office/spreadsheetml/2010/11/ac" url="https://uatedu-my.sharepoint.com/personal/jakoconn_uat_edu/Documents/MS544/"/>
    </mc:Choice>
  </mc:AlternateContent>
  <xr:revisionPtr revIDLastSave="2038" documentId="8_{C8B8EDD4-E4AC-468D-860E-C9088CEEE3BC}" xr6:coauthVersionLast="47" xr6:coauthVersionMax="47" xr10:uidLastSave="{7B45EEA3-698F-43BA-B424-3B746C5BB4AD}"/>
  <bookViews>
    <workbookView xWindow="-120" yWindow="-120" windowWidth="29040" windowHeight="15840" tabRatio="676" activeTab="2" xr2:uid="{00000000-000D-0000-FFFF-FFFF00000000}"/>
  </bookViews>
  <sheets>
    <sheet name="Executive Summary " sheetId="7" r:id="rId1"/>
    <sheet name="P&amp;L Summary" sheetId="11" r:id="rId2"/>
    <sheet name="Expense Breakdown" sheetId="12" r:id="rId3"/>
    <sheet name="Break-Even Analysis" sheetId="14" r:id="rId4"/>
    <sheet name="{Source Data}" sheetId="9" r:id="rId5"/>
  </sheets>
  <definedNames>
    <definedName name="NativeTimeline_Quarter__End">#N/A</definedName>
    <definedName name="NativeTimeline_Quarter__End1">#N/A</definedName>
  </definedNames>
  <calcPr calcId="191028" concurrentCalc="0"/>
  <pivotCaches>
    <pivotCache cacheId="10" r:id="rId6"/>
  </pivotCaches>
  <extLst>
    <ext xmlns:x14="http://schemas.microsoft.com/office/spreadsheetml/2009/9/main" uri="{79F54976-1DA5-4618-B147-4CDE4B953A38}">
      <x14:workbookPr/>
    </ext>
    <ext xmlns:x15="http://schemas.microsoft.com/office/spreadsheetml/2010/11/main" uri="{D0CA8CA8-9F24-4464-BF8E-62219DCF47F9}">
      <x15:timelineCacheRefs>
        <x15:timelineCacheRef r:id="rId7"/>
        <x15:timelineCacheRef r:id="rId8"/>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http://schemas.microsoft.com/office/mac/excel/2008/main">
      <mx:ArchID Flags="2"/>
    </ext>
  </extLst>
</workbook>
</file>

<file path=xl/calcChain.xml><?xml version="1.0" encoding="utf-8"?>
<calcChain xmlns="http://schemas.openxmlformats.org/spreadsheetml/2006/main">
  <c r="AK19" i="9" l="1"/>
  <c r="AJ19" i="9"/>
  <c r="AI19" i="9"/>
  <c r="AH19" i="9"/>
  <c r="AG19" i="9"/>
  <c r="AF19" i="9"/>
  <c r="AE19" i="9"/>
  <c r="AD19" i="9"/>
  <c r="AC19" i="9"/>
  <c r="AB19" i="9"/>
  <c r="AA19" i="9"/>
  <c r="Z19" i="9"/>
  <c r="Y19" i="9"/>
  <c r="X19" i="9"/>
  <c r="W19" i="9"/>
  <c r="V19" i="9"/>
  <c r="U19" i="9"/>
  <c r="T19" i="9"/>
  <c r="S19" i="9"/>
  <c r="R19" i="9"/>
  <c r="Q19" i="9"/>
  <c r="P19" i="9"/>
  <c r="O19" i="9"/>
  <c r="N19" i="9"/>
  <c r="M19" i="9"/>
  <c r="L19" i="9"/>
  <c r="K19" i="9"/>
  <c r="J19" i="9"/>
  <c r="I19" i="9"/>
  <c r="H19" i="9"/>
  <c r="G19" i="9"/>
  <c r="F19" i="9"/>
  <c r="E19" i="9"/>
  <c r="D19" i="9"/>
  <c r="C19" i="9"/>
  <c r="B19" i="9"/>
  <c r="C7" i="9"/>
  <c r="F7" i="9"/>
  <c r="L7" i="9"/>
  <c r="Q7" i="9"/>
  <c r="W7" i="9"/>
  <c r="AA7" i="9"/>
  <c r="AF7" i="9"/>
  <c r="AH7" i="9"/>
  <c r="AI7" i="9"/>
  <c r="AJ7" i="9"/>
  <c r="C8" i="9"/>
  <c r="F8" i="9"/>
  <c r="L8" i="9"/>
  <c r="Q8" i="9"/>
  <c r="W8" i="9"/>
  <c r="AA8" i="9"/>
  <c r="AF8" i="9"/>
  <c r="AH8" i="9"/>
  <c r="AI8" i="9"/>
  <c r="AJ8" i="9"/>
  <c r="C9" i="9"/>
  <c r="F9" i="9"/>
  <c r="L9" i="9"/>
  <c r="Q9" i="9"/>
  <c r="W9" i="9"/>
  <c r="AA9" i="9"/>
  <c r="AF9" i="9"/>
  <c r="AH9" i="9"/>
  <c r="AI9" i="9"/>
  <c r="AJ9" i="9"/>
  <c r="C10" i="9"/>
  <c r="F10" i="9"/>
  <c r="L10" i="9"/>
  <c r="Q10" i="9"/>
  <c r="W10" i="9"/>
  <c r="AA10" i="9"/>
  <c r="AF10" i="9"/>
  <c r="AH10" i="9"/>
  <c r="AI10" i="9"/>
  <c r="AJ10" i="9"/>
  <c r="C11" i="9"/>
  <c r="F11" i="9"/>
  <c r="L11" i="9"/>
  <c r="Q11" i="9"/>
  <c r="W11" i="9"/>
  <c r="AA11" i="9"/>
  <c r="AF11" i="9"/>
  <c r="AH11" i="9"/>
  <c r="AI11" i="9"/>
  <c r="AJ11" i="9"/>
  <c r="C12" i="9"/>
  <c r="F12" i="9"/>
  <c r="L12" i="9"/>
  <c r="Q12" i="9"/>
  <c r="W12" i="9"/>
  <c r="AA12" i="9"/>
  <c r="AF12" i="9"/>
  <c r="AH12" i="9"/>
  <c r="AI12" i="9"/>
  <c r="AJ12" i="9"/>
  <c r="C13" i="9"/>
  <c r="F13" i="9"/>
  <c r="L13" i="9"/>
  <c r="Q13" i="9"/>
  <c r="W13" i="9"/>
  <c r="AA13" i="9"/>
  <c r="AF13" i="9"/>
  <c r="AH13" i="9"/>
  <c r="AI13" i="9"/>
  <c r="AJ13" i="9"/>
  <c r="C14" i="9"/>
  <c r="F14" i="9"/>
  <c r="L14" i="9"/>
  <c r="Q14" i="9"/>
  <c r="W14" i="9"/>
  <c r="AA14" i="9"/>
  <c r="AF14" i="9"/>
  <c r="AH14" i="9"/>
  <c r="AI14" i="9"/>
  <c r="AJ14" i="9"/>
  <c r="C15" i="9"/>
  <c r="F15" i="9"/>
  <c r="L15" i="9"/>
  <c r="Q15" i="9"/>
  <c r="W15" i="9"/>
  <c r="AA15" i="9"/>
  <c r="AF15" i="9"/>
  <c r="AH15" i="9"/>
  <c r="AI15" i="9"/>
  <c r="AJ15" i="9"/>
  <c r="C16" i="9"/>
  <c r="F16" i="9"/>
  <c r="L16" i="9"/>
  <c r="Q16" i="9"/>
  <c r="W16" i="9"/>
  <c r="AA16" i="9"/>
  <c r="AF16" i="9"/>
  <c r="AH16" i="9"/>
  <c r="AI16" i="9"/>
  <c r="AJ16" i="9"/>
  <c r="C17" i="9"/>
  <c r="F17" i="9"/>
  <c r="L17" i="9"/>
  <c r="Q17" i="9"/>
  <c r="W17" i="9"/>
  <c r="AA17" i="9"/>
  <c r="AF17" i="9"/>
  <c r="AH17" i="9"/>
  <c r="AI17" i="9"/>
  <c r="AJ17" i="9"/>
  <c r="C18" i="9"/>
  <c r="F18" i="9"/>
  <c r="L18" i="9"/>
  <c r="Q18" i="9"/>
  <c r="W18" i="9"/>
  <c r="AA18" i="9"/>
  <c r="AF18" i="9"/>
  <c r="AH18" i="9"/>
  <c r="AI18" i="9"/>
  <c r="AJ18" i="9"/>
  <c r="AK18" i="9"/>
  <c r="B22" i="9"/>
  <c r="B21" i="9"/>
  <c r="B20" i="9"/>
  <c r="AK7" i="9"/>
  <c r="AK8" i="9"/>
  <c r="AK9" i="9"/>
  <c r="AK10" i="9"/>
  <c r="AK11" i="9"/>
  <c r="AK12" i="9"/>
  <c r="AK13" i="9"/>
  <c r="AK14" i="9"/>
  <c r="AK15" i="9"/>
  <c r="AK16" i="9"/>
  <c r="AK17" i="9"/>
  <c r="AK22" i="9"/>
  <c r="AJ22" i="9"/>
  <c r="AI22" i="9"/>
  <c r="AH22" i="9"/>
  <c r="AG22" i="9"/>
  <c r="AF22" i="9"/>
  <c r="AE22" i="9"/>
  <c r="AD22" i="9"/>
  <c r="AC22" i="9"/>
  <c r="AB22" i="9"/>
  <c r="AA22" i="9"/>
  <c r="Z22" i="9"/>
  <c r="Y22" i="9"/>
  <c r="X22" i="9"/>
  <c r="W22" i="9"/>
  <c r="V22" i="9"/>
  <c r="U22" i="9"/>
  <c r="T22" i="9"/>
  <c r="S22" i="9"/>
  <c r="R22" i="9"/>
  <c r="Q22" i="9"/>
  <c r="P22" i="9"/>
  <c r="O22" i="9"/>
  <c r="N22" i="9"/>
  <c r="M22" i="9"/>
  <c r="L22" i="9"/>
  <c r="K22" i="9"/>
  <c r="J22" i="9"/>
  <c r="I22" i="9"/>
  <c r="H22" i="9"/>
  <c r="G22" i="9"/>
  <c r="F22" i="9"/>
  <c r="E22" i="9"/>
  <c r="D22" i="9"/>
  <c r="C22" i="9"/>
  <c r="AK21" i="9"/>
  <c r="AJ21" i="9"/>
  <c r="AI21" i="9"/>
  <c r="AH21" i="9"/>
  <c r="AG21" i="9"/>
  <c r="AF21" i="9"/>
  <c r="AE21" i="9"/>
  <c r="AD21" i="9"/>
  <c r="AC21" i="9"/>
  <c r="AB21" i="9"/>
  <c r="AA21" i="9"/>
  <c r="Z21" i="9"/>
  <c r="Y21" i="9"/>
  <c r="X21" i="9"/>
  <c r="W21" i="9"/>
  <c r="V21" i="9"/>
  <c r="U21" i="9"/>
  <c r="T21" i="9"/>
  <c r="S21" i="9"/>
  <c r="R21" i="9"/>
  <c r="Q21" i="9"/>
  <c r="P21" i="9"/>
  <c r="O21" i="9"/>
  <c r="N21" i="9"/>
  <c r="M21" i="9"/>
  <c r="L21" i="9"/>
  <c r="K21" i="9"/>
  <c r="J21" i="9"/>
  <c r="I21" i="9"/>
  <c r="H21" i="9"/>
  <c r="G21" i="9"/>
  <c r="F21" i="9"/>
  <c r="E21" i="9"/>
  <c r="D21" i="9"/>
  <c r="C21" i="9"/>
  <c r="AK20" i="9"/>
  <c r="AJ20" i="9"/>
  <c r="AI20" i="9"/>
  <c r="AH20" i="9"/>
  <c r="AG20" i="9"/>
  <c r="AF20" i="9"/>
  <c r="AE20" i="9"/>
  <c r="AD20" i="9"/>
  <c r="AC20" i="9"/>
  <c r="AB20" i="9"/>
  <c r="AA20" i="9"/>
  <c r="Z20" i="9"/>
  <c r="Y20" i="9"/>
  <c r="X20" i="9"/>
  <c r="W20" i="9"/>
  <c r="V20" i="9"/>
  <c r="U20" i="9"/>
  <c r="T20" i="9"/>
  <c r="S20" i="9"/>
  <c r="R20" i="9"/>
  <c r="Q20" i="9"/>
  <c r="P20" i="9"/>
  <c r="O20" i="9"/>
  <c r="N20" i="9"/>
  <c r="M20" i="9"/>
  <c r="L20" i="9"/>
  <c r="K20" i="9"/>
  <c r="J20" i="9"/>
  <c r="I20" i="9"/>
  <c r="H20" i="9"/>
  <c r="G20" i="9"/>
  <c r="F20" i="9"/>
  <c r="E20" i="9"/>
  <c r="D20" i="9"/>
  <c r="C20" i="9"/>
  <c r="B12" i="14"/>
  <c r="B13" i="14"/>
  <c r="B14" i="14"/>
  <c r="B15" i="14"/>
  <c r="B16" i="14"/>
  <c r="B17" i="14"/>
  <c r="B20" i="14"/>
  <c r="B21" i="14"/>
  <c r="B22" i="14"/>
  <c r="B23" i="14"/>
  <c r="B24" i="14"/>
  <c r="B25" i="14"/>
  <c r="B26" i="14"/>
  <c r="B29" i="14"/>
  <c r="B7" i="14"/>
  <c r="B8" i="14"/>
  <c r="L6" i="14"/>
  <c r="B30" i="14"/>
  <c r="L8" i="14"/>
  <c r="L9" i="14"/>
  <c r="L7" i="14"/>
</calcChain>
</file>

<file path=xl/sharedStrings.xml><?xml version="1.0" encoding="utf-8"?>
<sst xmlns="http://schemas.openxmlformats.org/spreadsheetml/2006/main" count="146" uniqueCount="110">
  <si>
    <t xml:space="preserve">Name: </t>
  </si>
  <si>
    <t>Jake O'Connor</t>
  </si>
  <si>
    <t xml:space="preserve">Class: </t>
  </si>
  <si>
    <t>UAT MS544</t>
  </si>
  <si>
    <t xml:space="preserve">Introduction &amp; Purpose: </t>
  </si>
  <si>
    <t xml:space="preserve">Overarching description and explanation of analysis: </t>
  </si>
  <si>
    <t xml:space="preserve">Final thoughts, inferences from the data, and any recommendations for actions or additional research: </t>
  </si>
  <si>
    <t>Profit and Loss Statement</t>
  </si>
  <si>
    <t>Barnes &amp; Noble</t>
  </si>
  <si>
    <t>Sales</t>
  </si>
  <si>
    <t>Sale of goods/services</t>
  </si>
  <si>
    <t>Expenses</t>
  </si>
  <si>
    <t>Legal Fees</t>
  </si>
  <si>
    <t>General Selling/Admin Cost</t>
  </si>
  <si>
    <t>Radio Ads</t>
  </si>
  <si>
    <t>Newspaper</t>
  </si>
  <si>
    <t>Social Media</t>
  </si>
  <si>
    <t>Direct Mail</t>
  </si>
  <si>
    <t>Magazine</t>
  </si>
  <si>
    <t>Product Development</t>
  </si>
  <si>
    <t>HEAR App Development</t>
  </si>
  <si>
    <t>Cost of upgrading app</t>
  </si>
  <si>
    <t>Product Design &amp; Development</t>
  </si>
  <si>
    <t>Market Testing</t>
  </si>
  <si>
    <t>Website Expenses</t>
  </si>
  <si>
    <t>Hosting expenses</t>
  </si>
  <si>
    <t>Maintenance expenses</t>
  </si>
  <si>
    <t>Search Engine Optimization</t>
  </si>
  <si>
    <t>Content Management Systems</t>
  </si>
  <si>
    <t>Employment Expenses</t>
  </si>
  <si>
    <t>Training Costs - existing employees</t>
  </si>
  <si>
    <t>Other - New Employee Benefits</t>
  </si>
  <si>
    <t>Recruitment costs - new salaries</t>
  </si>
  <si>
    <t>Occupancy Costs</t>
  </si>
  <si>
    <t>Inventory Holding Cost - warehouse</t>
  </si>
  <si>
    <t>Inventory Holding Cost - store</t>
  </si>
  <si>
    <t>Space for Customer Support Team/Rent</t>
  </si>
  <si>
    <t>Utilities for Customer Support Space</t>
  </si>
  <si>
    <t>Wholesale expense to hearing aid company</t>
  </si>
  <si>
    <t>Total Expenses</t>
  </si>
  <si>
    <t>Quarter</t>
  </si>
  <si>
    <t>Marketing &amp; Promotional Expenses</t>
  </si>
  <si>
    <t>General &amp; Administrative Expenses</t>
  </si>
  <si>
    <t>Product Development Expenses</t>
  </si>
  <si>
    <t>Development / coding mobile and e-commerce</t>
  </si>
  <si>
    <t>Totals</t>
  </si>
  <si>
    <t>Quarter (End)</t>
  </si>
  <si>
    <t>Quarter Net Profit</t>
  </si>
  <si>
    <t>Misc Expenses</t>
  </si>
  <si>
    <t>Sum Misc Expense</t>
  </si>
  <si>
    <t>Sum Occupancy Expense</t>
  </si>
  <si>
    <t>Sum Employee Expense</t>
  </si>
  <si>
    <t>Sum Website Expense</t>
  </si>
  <si>
    <t>Sum Development Expense</t>
  </si>
  <si>
    <t>Sum Marketing Expense</t>
  </si>
  <si>
    <t>Sum Sales</t>
  </si>
  <si>
    <t>Sum General Expense</t>
  </si>
  <si>
    <t>To-Date Net Profit</t>
  </si>
  <si>
    <t>Total</t>
  </si>
  <si>
    <t>Grand Total</t>
  </si>
  <si>
    <t>2018</t>
  </si>
  <si>
    <t>Mar</t>
  </si>
  <si>
    <t>Jun</t>
  </si>
  <si>
    <t>Sep</t>
  </si>
  <si>
    <t>Dec</t>
  </si>
  <si>
    <t>2019</t>
  </si>
  <si>
    <t>2020</t>
  </si>
  <si>
    <t>Sales, Expenses, and Profit</t>
  </si>
  <si>
    <t>2018-2020 + Projections</t>
  </si>
  <si>
    <t>Data Sheet</t>
  </si>
  <si>
    <t>Profit</t>
  </si>
  <si>
    <t>2018-2020</t>
  </si>
  <si>
    <t>Expense Breakdown</t>
  </si>
  <si>
    <t>Marketing</t>
  </si>
  <si>
    <t>General</t>
  </si>
  <si>
    <t>Development</t>
  </si>
  <si>
    <t>Website</t>
  </si>
  <si>
    <t>Employment</t>
  </si>
  <si>
    <t>Occupancy</t>
  </si>
  <si>
    <t>Misc</t>
  </si>
  <si>
    <t>Break-Even Analysis</t>
  </si>
  <si>
    <t>Source Data</t>
  </si>
  <si>
    <t>Fixed Costs</t>
  </si>
  <si>
    <t>Variable Costs</t>
  </si>
  <si>
    <t>Unit MSRP</t>
  </si>
  <si>
    <t>Training &amp; Salary</t>
  </si>
  <si>
    <t>Rent &amp; Utilities</t>
  </si>
  <si>
    <t>Website Expense</t>
  </si>
  <si>
    <t>Wholesale Costs</t>
  </si>
  <si>
    <t>Admin Costs</t>
  </si>
  <si>
    <t>Recruitment</t>
  </si>
  <si>
    <t>Benefits</t>
  </si>
  <si>
    <t>Inventory Costs</t>
  </si>
  <si>
    <t>Break-Even</t>
  </si>
  <si>
    <t>Unit Cost</t>
  </si>
  <si>
    <t>Unit Revenue</t>
  </si>
  <si>
    <t>Units</t>
  </si>
  <si>
    <t>Months</t>
  </si>
  <si>
    <t>Projections</t>
  </si>
  <si>
    <t>Sales (3 years)</t>
  </si>
  <si>
    <t>Sales / Month</t>
  </si>
  <si>
    <t>Unit Pricing</t>
  </si>
  <si>
    <t>Appx. Date</t>
  </si>
  <si>
    <t>Mean</t>
  </si>
  <si>
    <t>Median</t>
  </si>
  <si>
    <t>Mode</t>
  </si>
  <si>
    <t>Std. Dev</t>
  </si>
  <si>
    <t>This document aims to aid in the comprehension of the financial projections for the potential Barnes &amp; Noble audiobook hearing aid product. To facilitate this, the original projections have been recompiled into a more friendly format that can take advantage of analyses and new sheets have been added which use charts in order to better show the data to consumers.</t>
  </si>
  <si>
    <t>The original document has been compiled into a single sheet ("{Source Data}") so that analyses could be run more easily on a single dataset, versus three separate datasets. The data within the original document was also cleaned by normalizing the first year's projections into quarters, like the second and third year were. Normalizing the period to quarters was preferable to months in order to avoid the presumption of having more accurate data than was available.
Sheets
   - "P&amp;L Summary"
      This sheet shows a breakdown of the sales and expenses as detailed by the source dataset, as well as the total net profit projected. The data referenced within can be filtered by quarter range in order to provide a zoomed in view of expectations. The data here is linked to the source data sheet, so all charts and tables are automatically updated when the source projections are changed.
   - "Expense Breakdown"
      This sheet shows a breakdown of the expenses projected by the financial study using visual charts in order to better understand how each type of expense factors into the overall costs for the product development and launch. The data here is linked to the source data sheet, so all charts and tables are automatically updated when the source projections are changed.
   - "Break-Even Analysis"
      This sheet shows a break-even analysis of the projected data, including an expected break-even data. This sheet allows for the adjustment of the product's unit MSRP, which directly factors into the break-even analysis. The data used on this sheet is linked to the source data sheet, so any adjustments to the source projections themselves will have an immediate effect on the break-even analysis.
   - "{Source Data}"
      This sheet is a compilation of the three from the original financial projection. All three years' projections have been concatenated into a single table, and the data has been grouped by category and totaled for easier editing and quick reading. The first year's monthly projections have been grouped into quarters so that it matches the period of the subsequent two years.</t>
  </si>
  <si>
    <t>The biggest takeaway from this data is that the wholesale product costs and the admin costs are the extremely high. Wholesale product costs make sense to be high, but it would greatly improve the company's overall profit and the closeness of the break-even point if the company could secure a discount from the supplier (via bulk order, via exclusivity contract, etc.). The admin costs are also extremely high (unclear what those specifically entail), so if those could be reduced it would also greatly improve the product's unit profit margins.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</si>
</sst>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43" formatCode="_(* #,##0.00_);_(* \(#,##0.00\);_(* &quot;-&quot;??_);_(@_)"/>
    <numFmt numFmtId="164" formatCode="_(* #,##0_);_(* \(#,##0\);_(* &quot;-&quot;??_);_(@_)"/>
    <numFmt numFmtId="165" formatCode="_(&quot;$&quot;* #,##0_);_(&quot;$&quot;* \(#,##0\);_(&quot;$&quot;* &quot;-&quot;??_);_(@_)"/>
  </numFmts>
  <fonts count="15" x14ac:knownFonts="1">
    <font>
      <sz val="10"/>
      <name val="Verdana"/>
    </font>
    <font>
      <b/>
      <sz val="10"/>
      <name val="Verdana"/>
      <family val="2"/>
    </font>
    <font>
      <b/>
      <sz val="13"/>
      <color indexed="56"/>
      <name val="Calibri"/>
      <family val="2"/>
    </font>
    <font>
      <b/>
      <sz val="11"/>
      <name val="Verdana"/>
      <family val="2"/>
    </font>
    <font>
      <sz val="10"/>
      <name val="Verdana"/>
      <family val="2"/>
    </font>
    <font>
      <sz val="10"/>
      <name val="Verdana"/>
    </font>
    <font>
      <b/>
      <sz val="13"/>
      <color theme="3"/>
      <name val="Calibri"/>
      <family val="2"/>
      <scheme val="minor"/>
    </font>
    <font>
      <b/>
      <sz val="11"/>
      <color rgb="FF3F3F3F"/>
      <name val="Calibri"/>
      <family val="2"/>
      <scheme val="minor"/>
    </font>
    <font>
      <sz val="18"/>
      <color theme="3"/>
      <name val="Cambria"/>
      <family val="2"/>
      <scheme val="major"/>
    </font>
    <font>
      <b/>
      <sz val="11"/>
      <color theme="3"/>
      <name val="Calibri"/>
      <family val="2"/>
      <scheme val="minor"/>
    </font>
    <font>
      <sz val="11"/>
      <color rgb="FF3F3F76"/>
      <name val="Calibri"/>
      <family val="2"/>
      <scheme val="minor"/>
    </font>
    <font>
      <b/>
      <sz val="11"/>
      <color rgb="FFFA7D00"/>
      <name val="Calibri"/>
      <family val="2"/>
      <scheme val="minor"/>
    </font>
    <font>
      <b/>
      <sz val="11"/>
      <color theme="0"/>
      <name val="Calibri"/>
      <family val="2"/>
      <scheme val="minor"/>
    </font>
    <font>
      <sz val="11"/>
      <color theme="0"/>
      <name val="Calibri"/>
      <family val="2"/>
      <scheme val="minor"/>
    </font>
    <font>
      <b/>
      <sz val="11"/>
      <color rgb="FF3F3F76"/>
      <name val="Calibri"/>
      <family val="2"/>
      <scheme val="minor"/>
    </font>
  </fonts>
  <fills count="6">
    <fill>
      <patternFill patternType="none"/>
    </fill>
    <fill>
      <patternFill patternType="gray125"/>
    </fill>
    <fill>
      <patternFill patternType="solid">
        <fgColor theme="0" tint="-0.249977111117893"/>
        <bgColor indexed="64"/>
      </patternFill>
    </fill>
    <fill>
      <patternFill patternType="solid">
        <fgColor rgb="FFF2F2F2"/>
      </patternFill>
    </fill>
    <fill>
      <patternFill patternType="solid">
        <fgColor rgb="FFFFCC99"/>
      </patternFill>
    </fill>
    <fill>
      <patternFill patternType="solid">
        <fgColor rgb="FFA5A5A5"/>
      </patternFill>
    </fill>
  </fills>
  <borders count="30">
    <border>
      <left/>
      <right/>
      <top/>
      <bottom/>
      <diagonal/>
    </border>
    <border>
      <left/>
      <right/>
      <top/>
      <bottom style="thick">
        <color indexed="22"/>
      </bottom>
      <diagonal/>
    </border>
    <border>
      <left/>
      <right/>
      <top/>
      <bottom style="thick">
        <color indexed="62"/>
      </bottom>
      <diagonal/>
    </border>
    <border>
      <left style="medium">
        <color indexed="64"/>
      </left>
      <right/>
      <top/>
      <bottom/>
      <diagonal/>
    </border>
    <border>
      <left style="medium">
        <color indexed="64"/>
      </left>
      <right style="medium">
        <color indexed="64"/>
      </right>
      <top style="medium">
        <color indexed="64"/>
      </top>
      <bottom/>
      <diagonal/>
    </border>
    <border>
      <left/>
      <right/>
      <top/>
      <bottom style="thick">
        <color theme="4" tint="0.499984740745262"/>
      </bottom>
      <diagonal/>
    </border>
    <border>
      <left style="thin">
        <color rgb="FF3F3F3F"/>
      </left>
      <right style="thin">
        <color rgb="FF3F3F3F"/>
      </right>
      <top style="thin">
        <color rgb="FF3F3F3F"/>
      </top>
      <bottom style="thin">
        <color rgb="FF3F3F3F"/>
      </bottom>
      <diagonal/>
    </border>
    <border>
      <left style="medium">
        <color indexed="64"/>
      </left>
      <right/>
      <top style="medium">
        <color indexed="64"/>
      </top>
      <bottom/>
      <diagonal/>
    </border>
    <border>
      <left style="medium">
        <color indexed="64"/>
      </left>
      <right/>
      <top/>
      <bottom style="medium">
        <color indexed="64"/>
      </bottom>
      <diagonal/>
    </border>
    <border>
      <left/>
      <right/>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medium">
        <color indexed="64"/>
      </right>
      <top style="medium">
        <color indexed="64"/>
      </top>
      <bottom/>
      <diagonal/>
    </border>
    <border>
      <left/>
      <right style="medium">
        <color indexed="64"/>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style="medium">
        <color indexed="64"/>
      </top>
      <bottom/>
      <diagonal/>
    </border>
    <border>
      <left style="medium">
        <color indexed="64"/>
      </left>
      <right style="thin">
        <color rgb="FF7F7F7F"/>
      </right>
      <top style="thin">
        <color rgb="FF7F7F7F"/>
      </top>
      <bottom style="medium">
        <color indexed="64"/>
      </bottom>
      <diagonal/>
    </border>
    <border>
      <left style="thin">
        <color rgb="FF7F7F7F"/>
      </left>
      <right style="thin">
        <color rgb="FF7F7F7F"/>
      </right>
      <top style="thin">
        <color rgb="FF7F7F7F"/>
      </top>
      <bottom style="medium">
        <color indexed="64"/>
      </bottom>
      <diagonal/>
    </border>
    <border>
      <left style="thin">
        <color rgb="FF7F7F7F"/>
      </left>
      <right style="medium">
        <color indexed="64"/>
      </right>
      <top style="thin">
        <color rgb="FF7F7F7F"/>
      </top>
      <bottom style="medium">
        <color indexed="64"/>
      </bottom>
      <diagonal/>
    </border>
    <border>
      <left style="thin">
        <color rgb="FF7F7F7F"/>
      </left>
      <right style="medium">
        <color indexed="64"/>
      </right>
      <top style="thin">
        <color rgb="FF7F7F7F"/>
      </top>
      <bottom style="thin">
        <color rgb="FF7F7F7F"/>
      </bottom>
      <diagonal/>
    </border>
    <border>
      <left style="medium">
        <color indexed="64"/>
      </left>
      <right/>
      <top style="medium">
        <color indexed="64"/>
      </top>
      <bottom style="thick">
        <color theme="4" tint="0.499984740745262"/>
      </bottom>
      <diagonal/>
    </border>
    <border>
      <left/>
      <right style="medium">
        <color indexed="64"/>
      </right>
      <top style="medium">
        <color indexed="64"/>
      </top>
      <bottom style="thick">
        <color theme="4" tint="0.499984740745262"/>
      </bottom>
      <diagonal/>
    </border>
    <border>
      <left style="medium">
        <color indexed="64"/>
      </left>
      <right style="double">
        <color rgb="FF3F3F3F"/>
      </right>
      <top style="double">
        <color rgb="FF3F3F3F"/>
      </top>
      <bottom style="double">
        <color rgb="FF3F3F3F"/>
      </bottom>
      <diagonal/>
    </border>
    <border>
      <left style="double">
        <color rgb="FF3F3F3F"/>
      </left>
      <right style="medium">
        <color indexed="64"/>
      </right>
      <top style="double">
        <color rgb="FF3F3F3F"/>
      </top>
      <bottom style="double">
        <color rgb="FF3F3F3F"/>
      </bottom>
      <diagonal/>
    </border>
    <border>
      <left style="medium">
        <color indexed="64"/>
      </left>
      <right style="double">
        <color rgb="FF3F3F3F"/>
      </right>
      <top style="double">
        <color rgb="FF3F3F3F"/>
      </top>
      <bottom style="medium">
        <color indexed="64"/>
      </bottom>
      <diagonal/>
    </border>
    <border>
      <left style="double">
        <color rgb="FF3F3F3F"/>
      </left>
      <right style="medium">
        <color indexed="64"/>
      </right>
      <top style="double">
        <color rgb="FF3F3F3F"/>
      </top>
      <bottom style="medium">
        <color indexed="64"/>
      </bottom>
      <diagonal/>
    </border>
    <border>
      <left style="medium">
        <color indexed="64"/>
      </left>
      <right/>
      <top style="double">
        <color rgb="FF3F3F3F"/>
      </top>
      <bottom style="double">
        <color rgb="FF3F3F3F"/>
      </bottom>
      <diagonal/>
    </border>
    <border>
      <left/>
      <right style="medium">
        <color indexed="64"/>
      </right>
      <top style="double">
        <color rgb="FF3F3F3F"/>
      </top>
      <bottom style="double">
        <color rgb="FF3F3F3F"/>
      </bottom>
      <diagonal/>
    </border>
    <border>
      <left style="medium">
        <color indexed="64"/>
      </left>
      <right style="thin">
        <color rgb="FF7F7F7F"/>
      </right>
      <top style="thin">
        <color rgb="FF7F7F7F"/>
      </top>
      <bottom style="thin">
        <color rgb="FF7F7F7F"/>
      </bottom>
      <diagonal/>
    </border>
  </borders>
  <cellStyleXfs count="9">
    <xf numFmtId="0" fontId="0" fillId="0" borderId="0"/>
    <xf numFmtId="44" fontId="5" fillId="0" borderId="0" applyFont="0" applyFill="0" applyBorder="0" applyAlignment="0" applyProtection="0"/>
    <xf numFmtId="0" fontId="6" fillId="0" borderId="5" applyNumberFormat="0" applyFill="0" applyAlignment="0" applyProtection="0"/>
    <xf numFmtId="0" fontId="7" fillId="3" borderId="6" applyNumberFormat="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10" fillId="4" borderId="14" applyNumberFormat="0" applyAlignment="0" applyProtection="0"/>
    <xf numFmtId="0" fontId="11" fillId="3" borderId="14" applyNumberFormat="0" applyAlignment="0" applyProtection="0"/>
    <xf numFmtId="0" fontId="12" fillId="5" borderId="15" applyNumberFormat="0" applyAlignment="0" applyProtection="0"/>
  </cellStyleXfs>
  <cellXfs count="71">
    <xf numFmtId="0" fontId="0" fillId="0" borderId="0" xfId="0"/>
    <xf numFmtId="0" fontId="2" fillId="0" borderId="1" xfId="0" applyFont="1" applyBorder="1" applyAlignment="1" applyProtection="1">
      <alignment vertical="top"/>
      <protection locked="0"/>
    </xf>
    <xf numFmtId="0" fontId="0" fillId="2" borderId="0" xfId="0" applyFill="1"/>
    <xf numFmtId="0" fontId="1" fillId="2" borderId="0" xfId="0" applyFont="1" applyFill="1" applyAlignment="1">
      <alignment horizontal="right"/>
    </xf>
    <xf numFmtId="0" fontId="3" fillId="0" borderId="0" xfId="0" applyFont="1"/>
    <xf numFmtId="165" fontId="0" fillId="0" borderId="0" xfId="1" applyNumberFormat="1" applyFont="1" applyBorder="1"/>
    <xf numFmtId="165" fontId="0" fillId="0" borderId="3" xfId="1" applyNumberFormat="1" applyFont="1" applyBorder="1"/>
    <xf numFmtId="165" fontId="0" fillId="0" borderId="8" xfId="1" applyNumberFormat="1" applyFont="1" applyBorder="1"/>
    <xf numFmtId="165" fontId="0" fillId="0" borderId="9" xfId="1" applyNumberFormat="1" applyFont="1" applyBorder="1"/>
    <xf numFmtId="0" fontId="4" fillId="0" borderId="0" xfId="0" applyFont="1" applyBorder="1" applyAlignment="1">
      <alignment horizontal="center" vertical="center" wrapText="1"/>
    </xf>
    <xf numFmtId="0" fontId="0" fillId="0" borderId="0" xfId="0" applyAlignment="1">
      <alignment wrapText="1"/>
    </xf>
    <xf numFmtId="0" fontId="0" fillId="0" borderId="0" xfId="0" applyBorder="1" applyAlignment="1">
      <alignment horizontal="center" vertical="center" wrapText="1"/>
    </xf>
    <xf numFmtId="0" fontId="7" fillId="3" borderId="0" xfId="3" applyBorder="1" applyAlignment="1">
      <alignment horizontal="center" vertical="center" wrapText="1"/>
    </xf>
    <xf numFmtId="0" fontId="0" fillId="0" borderId="3" xfId="0" applyBorder="1" applyAlignment="1">
      <alignment horizontal="center" vertical="center" wrapText="1"/>
    </xf>
    <xf numFmtId="0" fontId="4" fillId="0" borderId="13" xfId="0" applyFont="1" applyBorder="1" applyAlignment="1">
      <alignment horizontal="center" vertical="center" wrapText="1"/>
    </xf>
    <xf numFmtId="0" fontId="7" fillId="3" borderId="3" xfId="3" applyBorder="1" applyAlignment="1">
      <alignment horizontal="center" vertical="center" wrapText="1"/>
    </xf>
    <xf numFmtId="0" fontId="7" fillId="3" borderId="13" xfId="3" applyBorder="1" applyAlignment="1">
      <alignment horizontal="center" vertical="center" wrapText="1"/>
    </xf>
    <xf numFmtId="0" fontId="0" fillId="0" borderId="0" xfId="0" pivotButton="1"/>
    <xf numFmtId="0" fontId="0" fillId="0" borderId="0" xfId="0" applyAlignment="1">
      <alignment horizontal="left"/>
    </xf>
    <xf numFmtId="14" fontId="0" fillId="0" borderId="0" xfId="0" applyNumberFormat="1" applyAlignment="1">
      <alignment horizontal="left" indent="1"/>
    </xf>
    <xf numFmtId="165" fontId="0" fillId="0" borderId="0" xfId="0" applyNumberFormat="1"/>
    <xf numFmtId="0" fontId="6" fillId="0" borderId="5" xfId="2"/>
    <xf numFmtId="0" fontId="8" fillId="0" borderId="0" xfId="4"/>
    <xf numFmtId="0" fontId="8" fillId="0" borderId="2" xfId="4" applyBorder="1"/>
    <xf numFmtId="0" fontId="9" fillId="0" borderId="0" xfId="5"/>
    <xf numFmtId="164" fontId="12" fillId="5" borderId="15" xfId="8" applyNumberFormat="1"/>
    <xf numFmtId="0" fontId="13" fillId="5" borderId="15" xfId="8" applyFont="1"/>
    <xf numFmtId="0" fontId="13" fillId="5" borderId="23" xfId="8" applyFont="1" applyBorder="1"/>
    <xf numFmtId="44" fontId="14" fillId="4" borderId="20" xfId="6" applyNumberFormat="1" applyFont="1" applyBorder="1"/>
    <xf numFmtId="44" fontId="13" fillId="5" borderId="24" xfId="8" applyNumberFormat="1" applyFont="1" applyBorder="1"/>
    <xf numFmtId="0" fontId="13" fillId="5" borderId="25" xfId="8" applyFont="1" applyBorder="1"/>
    <xf numFmtId="44" fontId="13" fillId="5" borderId="26" xfId="8" applyNumberFormat="1" applyFont="1" applyBorder="1"/>
    <xf numFmtId="165" fontId="13" fillId="5" borderId="24" xfId="8" applyNumberFormat="1" applyFont="1" applyBorder="1"/>
    <xf numFmtId="0" fontId="12" fillId="5" borderId="23" xfId="8" applyBorder="1" applyAlignment="1">
      <alignment horizontal="right"/>
    </xf>
    <xf numFmtId="165" fontId="12" fillId="5" borderId="24" xfId="8" applyNumberFormat="1" applyFont="1" applyBorder="1"/>
    <xf numFmtId="0" fontId="12" fillId="5" borderId="25" xfId="8" applyFont="1" applyBorder="1" applyAlignment="1">
      <alignment horizontal="right"/>
    </xf>
    <xf numFmtId="165" fontId="12" fillId="5" borderId="26" xfId="8" applyNumberFormat="1" applyFont="1" applyBorder="1"/>
    <xf numFmtId="0" fontId="12" fillId="5" borderId="23" xfId="8" applyFont="1" applyBorder="1"/>
    <xf numFmtId="0" fontId="12" fillId="5" borderId="25" xfId="8" applyFont="1" applyBorder="1"/>
    <xf numFmtId="164" fontId="11" fillId="3" borderId="20" xfId="7" applyNumberFormat="1" applyBorder="1"/>
    <xf numFmtId="165" fontId="11" fillId="3" borderId="20" xfId="7" applyNumberFormat="1" applyBorder="1"/>
    <xf numFmtId="43" fontId="11" fillId="3" borderId="20" xfId="7" applyNumberFormat="1" applyBorder="1"/>
    <xf numFmtId="14" fontId="11" fillId="3" borderId="19" xfId="7" applyNumberFormat="1" applyBorder="1"/>
    <xf numFmtId="165" fontId="11" fillId="3" borderId="14" xfId="7" applyNumberFormat="1" applyBorder="1"/>
    <xf numFmtId="165" fontId="11" fillId="3" borderId="18" xfId="7" applyNumberFormat="1" applyBorder="1"/>
    <xf numFmtId="165" fontId="11" fillId="3" borderId="19" xfId="7" applyNumberFormat="1" applyBorder="1"/>
    <xf numFmtId="0" fontId="0" fillId="0" borderId="4" xfId="0" applyBorder="1" applyAlignment="1">
      <alignment horizontal="center" vertical="center" wrapText="1"/>
    </xf>
    <xf numFmtId="0" fontId="4" fillId="0" borderId="10" xfId="0" applyFont="1" applyBorder="1" applyAlignment="1">
      <alignment horizontal="center" vertical="center" wrapText="1"/>
    </xf>
    <xf numFmtId="14" fontId="0" fillId="0" borderId="10" xfId="0" applyNumberFormat="1" applyBorder="1" applyAlignment="1">
      <alignment horizontal="center" vertical="center" wrapText="1"/>
    </xf>
    <xf numFmtId="14" fontId="0" fillId="0" borderId="11" xfId="0" applyNumberFormat="1" applyBorder="1" applyAlignment="1">
      <alignment horizontal="center" vertical="center" wrapText="1"/>
    </xf>
    <xf numFmtId="165" fontId="11" fillId="3" borderId="29" xfId="7" applyNumberFormat="1" applyBorder="1"/>
    <xf numFmtId="165" fontId="11" fillId="3" borderId="17" xfId="7" applyNumberFormat="1" applyBorder="1"/>
    <xf numFmtId="14" fontId="12" fillId="5" borderId="15" xfId="8" applyNumberFormat="1" applyAlignment="1">
      <alignment horizontal="left" vertical="center" wrapText="1"/>
    </xf>
    <xf numFmtId="0" fontId="12" fillId="5" borderId="15" xfId="8" applyAlignment="1">
      <alignment horizontal="left" vertical="center"/>
    </xf>
    <xf numFmtId="165" fontId="12" fillId="5" borderId="15" xfId="1" applyNumberFormat="1" applyFont="1" applyFill="1" applyBorder="1" applyAlignment="1">
      <alignment horizontal="left" vertical="center"/>
    </xf>
    <xf numFmtId="165" fontId="12" fillId="5" borderId="15" xfId="1" applyNumberFormat="1" applyFont="1" applyFill="1" applyBorder="1" applyAlignment="1">
      <alignment horizontal="center" vertical="center"/>
    </xf>
    <xf numFmtId="0" fontId="4" fillId="2" borderId="0" xfId="0" applyFont="1" applyFill="1" applyAlignment="1">
      <alignment horizontal="left" vertical="top" wrapText="1"/>
    </xf>
    <xf numFmtId="0" fontId="0" fillId="2" borderId="0" xfId="0" applyFill="1" applyAlignment="1">
      <alignment horizontal="left" vertical="top" wrapText="1"/>
    </xf>
    <xf numFmtId="0" fontId="6" fillId="0" borderId="5" xfId="2" applyAlignment="1">
      <alignment horizontal="center" vertical="center"/>
    </xf>
    <xf numFmtId="0" fontId="6" fillId="0" borderId="0" xfId="2" applyBorder="1" applyAlignment="1">
      <alignment horizontal="center" vertical="center"/>
    </xf>
    <xf numFmtId="0" fontId="6" fillId="5" borderId="21" xfId="2" applyFill="1" applyBorder="1" applyAlignment="1">
      <alignment horizontal="center"/>
    </xf>
    <xf numFmtId="0" fontId="6" fillId="5" borderId="22" xfId="2" applyFill="1" applyBorder="1" applyAlignment="1">
      <alignment horizontal="center"/>
    </xf>
    <xf numFmtId="0" fontId="12" fillId="5" borderId="15" xfId="8" applyAlignment="1">
      <alignment horizontal="center"/>
    </xf>
    <xf numFmtId="0" fontId="9" fillId="5" borderId="15" xfId="5" applyFill="1" applyBorder="1" applyAlignment="1">
      <alignment horizontal="center"/>
    </xf>
    <xf numFmtId="0" fontId="9" fillId="5" borderId="23" xfId="5" applyFill="1" applyBorder="1" applyAlignment="1">
      <alignment horizontal="center"/>
    </xf>
    <xf numFmtId="0" fontId="9" fillId="5" borderId="24" xfId="5" applyFill="1" applyBorder="1" applyAlignment="1">
      <alignment horizontal="center"/>
    </xf>
    <xf numFmtId="0" fontId="12" fillId="5" borderId="27" xfId="8" applyBorder="1" applyAlignment="1">
      <alignment horizontal="center"/>
    </xf>
    <xf numFmtId="0" fontId="12" fillId="5" borderId="28" xfId="8" applyBorder="1" applyAlignment="1">
      <alignment horizontal="center"/>
    </xf>
    <xf numFmtId="0" fontId="6" fillId="0" borderId="7" xfId="2" applyBorder="1" applyAlignment="1">
      <alignment horizontal="center" vertical="center" wrapText="1"/>
    </xf>
    <xf numFmtId="0" fontId="6" fillId="0" borderId="12" xfId="2" applyBorder="1" applyAlignment="1">
      <alignment horizontal="center" vertical="center" wrapText="1"/>
    </xf>
    <xf numFmtId="0" fontId="6" fillId="0" borderId="16" xfId="2" applyBorder="1" applyAlignment="1">
      <alignment horizontal="center" vertical="center" wrapText="1"/>
    </xf>
  </cellXfs>
  <cellStyles count="9">
    <cellStyle name="Calculation" xfId="7" builtinId="22"/>
    <cellStyle name="Check Cell" xfId="8" builtinId="23"/>
    <cellStyle name="Currency" xfId="1" builtinId="4"/>
    <cellStyle name="Heading 2" xfId="2" builtinId="17"/>
    <cellStyle name="Heading 4" xfId="5" builtinId="19"/>
    <cellStyle name="Input" xfId="6" builtinId="20"/>
    <cellStyle name="Normal" xfId="0" builtinId="0"/>
    <cellStyle name="Output" xfId="3" builtinId="21"/>
    <cellStyle name="Title" xfId="4" builtinId="15"/>
  </cellStyles>
  <dxfs count="84">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font>
        <b val="0"/>
        <i val="0"/>
        <strike val="0"/>
        <condense val="0"/>
        <extend val="0"/>
        <outline val="0"/>
        <shadow val="0"/>
        <u val="none"/>
        <vertAlign val="baseline"/>
        <sz val="10"/>
        <color auto="1"/>
        <name val="Verdana"/>
        <family val="2"/>
        <scheme val="none"/>
      </font>
      <numFmt numFmtId="165" formatCode="_(&quot;$&quot;* #,##0_);_(&quot;$&quot;* \(#,##0\);_(&quot;$&quot;* &quot;-&quot;??_);_(@_)"/>
      <border diagonalUp="0" diagonalDown="0" outline="0">
        <left style="medium">
          <color indexed="64"/>
        </left>
        <right/>
        <top/>
        <bottom/>
      </border>
    </dxf>
    <dxf>
      <numFmt numFmtId="165" formatCode="_(&quot;$&quot;* #,##0_);_(&quot;$&quot;* \(#,##0\);_(&quot;$&quot;* &quot;-&quot;??_);_(@_)"/>
      <border diagonalUp="0" diagonalDown="0">
        <left style="thin">
          <color rgb="FF7F7F7F"/>
        </left>
        <right style="medium">
          <color indexed="64"/>
        </right>
        <top style="thin">
          <color rgb="FF7F7F7F"/>
        </top>
        <bottom style="thin">
          <color rgb="FF7F7F7F"/>
        </bottom>
        <vertical/>
        <horizontal/>
      </border>
    </dxf>
    <dxf>
      <font>
        <b val="0"/>
        <i val="0"/>
        <strike val="0"/>
        <condense val="0"/>
        <extend val="0"/>
        <outline val="0"/>
        <shadow val="0"/>
        <u val="none"/>
        <vertAlign val="baseline"/>
        <sz val="10"/>
        <color auto="1"/>
        <name val="Verdana"/>
        <family val="2"/>
        <scheme val="none"/>
      </font>
      <numFmt numFmtId="165" formatCode="_(&quot;$&quot;* #,##0_);_(&quot;$&quot;* \(#,##0\);_(&quot;$&quot;* &quot;-&quot;??_);_(@_)"/>
      <border diagonalUp="0" diagonalDown="0" outline="0">
        <left style="medium">
          <color indexed="64"/>
        </left>
        <right/>
        <top/>
        <bottom/>
      </border>
    </dxf>
    <dxf>
      <numFmt numFmtId="165" formatCode="_(&quot;$&quot;* #,##0_);_(&quot;$&quot;* \(#,##0\);_(&quot;$&quot;* &quot;-&quot;??_);_(@_)"/>
      <border diagonalUp="0" diagonalDown="0">
        <left style="thin">
          <color rgb="FF7F7F7F"/>
        </left>
        <right style="thin">
          <color rgb="FF7F7F7F"/>
        </right>
        <top style="thin">
          <color rgb="FF7F7F7F"/>
        </top>
        <bottom style="thin">
          <color rgb="FF7F7F7F"/>
        </bottom>
        <vertical/>
        <horizontal/>
      </border>
    </dxf>
    <dxf>
      <font>
        <b val="0"/>
        <i val="0"/>
        <strike val="0"/>
        <condense val="0"/>
        <extend val="0"/>
        <outline val="0"/>
        <shadow val="0"/>
        <u val="none"/>
        <vertAlign val="baseline"/>
        <sz val="10"/>
        <color auto="1"/>
        <name val="Verdana"/>
        <family val="2"/>
        <scheme val="none"/>
      </font>
      <numFmt numFmtId="165" formatCode="_(&quot;$&quot;* #,##0_);_(&quot;$&quot;* \(#,##0\);_(&quot;$&quot;* &quot;-&quot;??_);_(@_)"/>
      <border diagonalUp="0" diagonalDown="0" outline="0">
        <left style="medium">
          <color indexed="64"/>
        </left>
        <right/>
        <top/>
        <bottom/>
      </border>
    </dxf>
    <dxf>
      <numFmt numFmtId="165" formatCode="_(&quot;$&quot;* #,##0_);_(&quot;$&quot;* \(#,##0\);_(&quot;$&quot;* &quot;-&quot;??_);_(@_)"/>
      <border diagonalUp="0" diagonalDown="0">
        <left style="medium">
          <color indexed="64"/>
        </left>
        <right style="thin">
          <color rgb="FF7F7F7F"/>
        </right>
        <top style="thin">
          <color rgb="FF7F7F7F"/>
        </top>
        <bottom style="thin">
          <color rgb="FF7F7F7F"/>
        </bottom>
        <vertical/>
        <horizontal/>
      </border>
    </dxf>
    <dxf>
      <font>
        <b val="0"/>
        <i val="0"/>
        <strike val="0"/>
        <condense val="0"/>
        <extend val="0"/>
        <outline val="0"/>
        <shadow val="0"/>
        <u val="none"/>
        <vertAlign val="baseline"/>
        <sz val="10"/>
        <color auto="1"/>
        <name val="Verdana"/>
        <family val="2"/>
        <scheme val="none"/>
      </font>
      <numFmt numFmtId="165" formatCode="_(&quot;$&quot;* #,##0_);_(&quot;$&quot;* \(#,##0\);_(&quot;$&quot;* &quot;-&quot;??_);_(@_)"/>
      <border diagonalUp="0" diagonalDown="0" outline="0">
        <left style="medium">
          <color indexed="64"/>
        </left>
        <right/>
        <top/>
        <bottom/>
      </border>
    </dxf>
    <dxf>
      <numFmt numFmtId="165" formatCode="_(&quot;$&quot;* #,##0_);_(&quot;$&quot;* \(#,##0\);_(&quot;$&quot;* &quot;-&quot;??_);_(@_)"/>
      <border diagonalUp="0" diagonalDown="0">
        <left style="thin">
          <color rgb="FF7F7F7F"/>
        </left>
        <right style="medium">
          <color indexed="64"/>
        </right>
        <top style="thin">
          <color rgb="FF7F7F7F"/>
        </top>
        <bottom style="thin">
          <color rgb="FF7F7F7F"/>
        </bottom>
        <vertical/>
        <horizontal/>
      </border>
    </dxf>
    <dxf>
      <font>
        <b val="0"/>
        <i val="0"/>
        <strike val="0"/>
        <condense val="0"/>
        <extend val="0"/>
        <outline val="0"/>
        <shadow val="0"/>
        <u val="none"/>
        <vertAlign val="baseline"/>
        <sz val="10"/>
        <color auto="1"/>
        <name val="Verdana"/>
        <family val="2"/>
        <scheme val="none"/>
      </font>
      <numFmt numFmtId="165" formatCode="_(&quot;$&quot;* #,##0_);_(&quot;$&quot;* \(#,##0\);_(&quot;$&quot;* &quot;-&quot;??_);_(@_)"/>
      <border diagonalUp="0" diagonalDown="0" outline="0">
        <left style="medium">
          <color indexed="64"/>
        </left>
        <right/>
        <top/>
        <bottom/>
      </border>
    </dxf>
    <dxf>
      <numFmt numFmtId="165" formatCode="_(&quot;$&quot;* #,##0_);_(&quot;$&quot;* \(#,##0\);_(&quot;$&quot;* &quot;-&quot;??_);_(@_)"/>
      <border diagonalUp="0" diagonalDown="0">
        <left style="medium">
          <color indexed="64"/>
        </left>
        <right/>
        <top/>
        <bottom/>
        <vertical/>
        <horizontal/>
      </border>
    </dxf>
    <dxf>
      <font>
        <b val="0"/>
        <i val="0"/>
        <strike val="0"/>
        <condense val="0"/>
        <extend val="0"/>
        <outline val="0"/>
        <shadow val="0"/>
        <u val="none"/>
        <vertAlign val="baseline"/>
        <sz val="10"/>
        <color auto="1"/>
        <name val="Verdana"/>
        <family val="2"/>
        <scheme val="none"/>
      </font>
      <numFmt numFmtId="165" formatCode="_(&quot;$&quot;* #,##0_);_(&quot;$&quot;* \(#,##0\);_(&quot;$&quot;* &quot;-&quot;??_);_(@_)"/>
      <border diagonalUp="0" diagonalDown="0" outline="0">
        <left style="medium">
          <color indexed="64"/>
        </left>
        <right/>
        <top/>
        <bottom/>
      </border>
    </dxf>
    <dxf>
      <numFmt numFmtId="165" formatCode="_(&quot;$&quot;* #,##0_);_(&quot;$&quot;* \(#,##0\);_(&quot;$&quot;* &quot;-&quot;??_);_(@_)"/>
      <border diagonalUp="0" diagonalDown="0">
        <left style="thin">
          <color rgb="FF7F7F7F"/>
        </left>
        <right style="medium">
          <color indexed="64"/>
        </right>
        <top style="thin">
          <color rgb="FF7F7F7F"/>
        </top>
        <bottom style="thin">
          <color rgb="FF7F7F7F"/>
        </bottom>
        <vertical/>
        <horizontal/>
      </border>
    </dxf>
    <dxf>
      <font>
        <b val="0"/>
        <i val="0"/>
        <strike val="0"/>
        <condense val="0"/>
        <extend val="0"/>
        <outline val="0"/>
        <shadow val="0"/>
        <u val="none"/>
        <vertAlign val="baseline"/>
        <sz val="10"/>
        <color auto="1"/>
        <name val="Verdana"/>
        <family val="2"/>
        <scheme val="none"/>
      </font>
      <numFmt numFmtId="165" formatCode="_(&quot;$&quot;* #,##0_);_(&quot;$&quot;* \(#,##0\);_(&quot;$&quot;* &quot;-&quot;??_);_(@_)"/>
      <border diagonalUp="0" diagonalDown="0" outline="0">
        <left style="medium">
          <color indexed="64"/>
        </left>
        <right/>
        <top/>
        <bottom/>
      </border>
    </dxf>
    <dxf>
      <numFmt numFmtId="165" formatCode="_(&quot;$&quot;* #,##0_);_(&quot;$&quot;* \(#,##0\);_(&quot;$&quot;* &quot;-&quot;??_);_(@_)"/>
    </dxf>
    <dxf>
      <font>
        <b val="0"/>
        <i val="0"/>
        <strike val="0"/>
        <condense val="0"/>
        <extend val="0"/>
        <outline val="0"/>
        <shadow val="0"/>
        <u val="none"/>
        <vertAlign val="baseline"/>
        <sz val="10"/>
        <color auto="1"/>
        <name val="Verdana"/>
        <family val="2"/>
        <scheme val="none"/>
      </font>
      <numFmt numFmtId="165" formatCode="_(&quot;$&quot;* #,##0_);_(&quot;$&quot;* \(#,##0\);_(&quot;$&quot;* &quot;-&quot;??_);_(@_)"/>
      <border diagonalUp="0" diagonalDown="0" outline="0">
        <left style="medium">
          <color indexed="64"/>
        </left>
        <right/>
        <top/>
        <bottom/>
      </border>
    </dxf>
    <dxf>
      <numFmt numFmtId="165" formatCode="_(&quot;$&quot;* #,##0_);_(&quot;$&quot;* \(#,##0\);_(&quot;$&quot;* &quot;-&quot;??_);_(@_)"/>
    </dxf>
    <dxf>
      <font>
        <b val="0"/>
        <i val="0"/>
        <strike val="0"/>
        <condense val="0"/>
        <extend val="0"/>
        <outline val="0"/>
        <shadow val="0"/>
        <u val="none"/>
        <vertAlign val="baseline"/>
        <sz val="10"/>
        <color auto="1"/>
        <name val="Verdana"/>
        <family val="2"/>
        <scheme val="none"/>
      </font>
      <numFmt numFmtId="165" formatCode="_(&quot;$&quot;* #,##0_);_(&quot;$&quot;* \(#,##0\);_(&quot;$&quot;* &quot;-&quot;??_);_(@_)"/>
      <border diagonalUp="0" diagonalDown="0" outline="0">
        <left style="medium">
          <color indexed="64"/>
        </left>
        <right/>
        <top/>
        <bottom/>
      </border>
    </dxf>
    <dxf>
      <numFmt numFmtId="165" formatCode="_(&quot;$&quot;* #,##0_);_(&quot;$&quot;* \(#,##0\);_(&quot;$&quot;* &quot;-&quot;??_);_(@_)"/>
    </dxf>
    <dxf>
      <font>
        <b val="0"/>
        <i val="0"/>
        <strike val="0"/>
        <condense val="0"/>
        <extend val="0"/>
        <outline val="0"/>
        <shadow val="0"/>
        <u val="none"/>
        <vertAlign val="baseline"/>
        <sz val="10"/>
        <color auto="1"/>
        <name val="Verdana"/>
        <family val="2"/>
        <scheme val="none"/>
      </font>
      <numFmt numFmtId="165" formatCode="_(&quot;$&quot;* #,##0_);_(&quot;$&quot;* \(#,##0\);_(&quot;$&quot;* &quot;-&quot;??_);_(@_)"/>
      <border diagonalUp="0" diagonalDown="0" outline="0">
        <left style="medium">
          <color indexed="64"/>
        </left>
        <right/>
        <top/>
        <bottom/>
      </border>
    </dxf>
    <dxf>
      <numFmt numFmtId="165" formatCode="_(&quot;$&quot;* #,##0_);_(&quot;$&quot;* \(#,##0\);_(&quot;$&quot;* &quot;-&quot;??_);_(@_)"/>
      <border diagonalUp="0" diagonalDown="0">
        <left style="medium">
          <color indexed="64"/>
        </left>
        <right/>
        <top/>
        <bottom/>
        <vertical/>
        <horizontal/>
      </border>
    </dxf>
    <dxf>
      <font>
        <b val="0"/>
        <i val="0"/>
        <strike val="0"/>
        <condense val="0"/>
        <extend val="0"/>
        <outline val="0"/>
        <shadow val="0"/>
        <u val="none"/>
        <vertAlign val="baseline"/>
        <sz val="10"/>
        <color auto="1"/>
        <name val="Verdana"/>
        <family val="2"/>
        <scheme val="none"/>
      </font>
      <numFmt numFmtId="165" formatCode="_(&quot;$&quot;* #,##0_);_(&quot;$&quot;* \(#,##0\);_(&quot;$&quot;* &quot;-&quot;??_);_(@_)"/>
      <border diagonalUp="0" diagonalDown="0" outline="0">
        <left style="medium">
          <color indexed="64"/>
        </left>
        <right/>
        <top/>
        <bottom/>
      </border>
    </dxf>
    <dxf>
      <numFmt numFmtId="165" formatCode="_(&quot;$&quot;* #,##0_);_(&quot;$&quot;* \(#,##0\);_(&quot;$&quot;* &quot;-&quot;??_);_(@_)"/>
      <border diagonalUp="0" diagonalDown="0">
        <left style="thin">
          <color rgb="FF7F7F7F"/>
        </left>
        <right style="medium">
          <color indexed="64"/>
        </right>
        <top style="thin">
          <color rgb="FF7F7F7F"/>
        </top>
        <bottom style="thin">
          <color rgb="FF7F7F7F"/>
        </bottom>
        <vertical/>
        <horizontal/>
      </border>
    </dxf>
    <dxf>
      <font>
        <b val="0"/>
        <i val="0"/>
        <strike val="0"/>
        <condense val="0"/>
        <extend val="0"/>
        <outline val="0"/>
        <shadow val="0"/>
        <u val="none"/>
        <vertAlign val="baseline"/>
        <sz val="10"/>
        <color auto="1"/>
        <name val="Verdana"/>
        <family val="2"/>
        <scheme val="none"/>
      </font>
      <numFmt numFmtId="165" formatCode="_(&quot;$&quot;* #,##0_);_(&quot;$&quot;* \(#,##0\);_(&quot;$&quot;* &quot;-&quot;??_);_(@_)"/>
      <border diagonalUp="0" diagonalDown="0" outline="0">
        <left style="medium">
          <color indexed="64"/>
        </left>
        <right/>
        <top/>
        <bottom/>
      </border>
    </dxf>
    <dxf>
      <numFmt numFmtId="165" formatCode="_(&quot;$&quot;* #,##0_);_(&quot;$&quot;* \(#,##0\);_(&quot;$&quot;* &quot;-&quot;??_);_(@_)"/>
    </dxf>
    <dxf>
      <font>
        <b val="0"/>
        <i val="0"/>
        <strike val="0"/>
        <condense val="0"/>
        <extend val="0"/>
        <outline val="0"/>
        <shadow val="0"/>
        <u val="none"/>
        <vertAlign val="baseline"/>
        <sz val="10"/>
        <color auto="1"/>
        <name val="Verdana"/>
        <family val="2"/>
        <scheme val="none"/>
      </font>
      <numFmt numFmtId="165" formatCode="_(&quot;$&quot;* #,##0_);_(&quot;$&quot;* \(#,##0\);_(&quot;$&quot;* &quot;-&quot;??_);_(@_)"/>
      <border diagonalUp="0" diagonalDown="0" outline="0">
        <left style="medium">
          <color indexed="64"/>
        </left>
        <right/>
        <top/>
        <bottom/>
      </border>
    </dxf>
    <dxf>
      <numFmt numFmtId="165" formatCode="_(&quot;$&quot;* #,##0_);_(&quot;$&quot;* \(#,##0\);_(&quot;$&quot;* &quot;-&quot;??_);_(@_)"/>
    </dxf>
    <dxf>
      <font>
        <b val="0"/>
        <i val="0"/>
        <strike val="0"/>
        <condense val="0"/>
        <extend val="0"/>
        <outline val="0"/>
        <shadow val="0"/>
        <u val="none"/>
        <vertAlign val="baseline"/>
        <sz val="10"/>
        <color auto="1"/>
        <name val="Verdana"/>
        <family val="2"/>
        <scheme val="none"/>
      </font>
      <numFmt numFmtId="165" formatCode="_(&quot;$&quot;* #,##0_);_(&quot;$&quot;* \(#,##0\);_(&quot;$&quot;* &quot;-&quot;??_);_(@_)"/>
      <border diagonalUp="0" diagonalDown="0" outline="0">
        <left style="medium">
          <color indexed="64"/>
        </left>
        <right/>
        <top/>
        <bottom/>
      </border>
    </dxf>
    <dxf>
      <numFmt numFmtId="165" formatCode="_(&quot;$&quot;* #,##0_);_(&quot;$&quot;* \(#,##0\);_(&quot;$&quot;* &quot;-&quot;??_);_(@_)"/>
      <border diagonalUp="0" diagonalDown="0">
        <left style="medium">
          <color indexed="64"/>
        </left>
        <right/>
        <top/>
        <bottom/>
        <vertical/>
        <horizontal/>
      </border>
    </dxf>
    <dxf>
      <font>
        <b val="0"/>
        <i val="0"/>
        <strike val="0"/>
        <condense val="0"/>
        <extend val="0"/>
        <outline val="0"/>
        <shadow val="0"/>
        <u val="none"/>
        <vertAlign val="baseline"/>
        <sz val="10"/>
        <color auto="1"/>
        <name val="Verdana"/>
        <family val="2"/>
        <scheme val="none"/>
      </font>
      <numFmt numFmtId="165" formatCode="_(&quot;$&quot;* #,##0_);_(&quot;$&quot;* \(#,##0\);_(&quot;$&quot;* &quot;-&quot;??_);_(@_)"/>
      <border diagonalUp="0" diagonalDown="0" outline="0">
        <left style="medium">
          <color indexed="64"/>
        </left>
        <right/>
        <top/>
        <bottom/>
      </border>
    </dxf>
    <dxf>
      <numFmt numFmtId="165" formatCode="_(&quot;$&quot;* #,##0_);_(&quot;$&quot;* \(#,##0\);_(&quot;$&quot;* &quot;-&quot;??_);_(@_)"/>
      <border diagonalUp="0" diagonalDown="0">
        <left style="thin">
          <color rgb="FF7F7F7F"/>
        </left>
        <right style="medium">
          <color indexed="64"/>
        </right>
        <top style="thin">
          <color rgb="FF7F7F7F"/>
        </top>
        <bottom style="thin">
          <color rgb="FF7F7F7F"/>
        </bottom>
        <vertical/>
        <horizontal/>
      </border>
    </dxf>
    <dxf>
      <font>
        <b val="0"/>
        <i val="0"/>
        <strike val="0"/>
        <condense val="0"/>
        <extend val="0"/>
        <outline val="0"/>
        <shadow val="0"/>
        <u val="none"/>
        <vertAlign val="baseline"/>
        <sz val="10"/>
        <color auto="1"/>
        <name val="Verdana"/>
        <family val="2"/>
        <scheme val="none"/>
      </font>
      <numFmt numFmtId="165" formatCode="_(&quot;$&quot;* #,##0_);_(&quot;$&quot;* \(#,##0\);_(&quot;$&quot;* &quot;-&quot;??_);_(@_)"/>
      <border diagonalUp="0" diagonalDown="0" outline="0">
        <left style="medium">
          <color indexed="64"/>
        </left>
        <right/>
        <top/>
        <bottom/>
      </border>
    </dxf>
    <dxf>
      <numFmt numFmtId="165" formatCode="_(&quot;$&quot;* #,##0_);_(&quot;$&quot;* \(#,##0\);_(&quot;$&quot;* &quot;-&quot;??_);_(@_)"/>
    </dxf>
    <dxf>
      <font>
        <b val="0"/>
        <i val="0"/>
        <strike val="0"/>
        <condense val="0"/>
        <extend val="0"/>
        <outline val="0"/>
        <shadow val="0"/>
        <u val="none"/>
        <vertAlign val="baseline"/>
        <sz val="10"/>
        <color auto="1"/>
        <name val="Verdana"/>
        <family val="2"/>
        <scheme val="none"/>
      </font>
      <numFmt numFmtId="165" formatCode="_(&quot;$&quot;* #,##0_);_(&quot;$&quot;* \(#,##0\);_(&quot;$&quot;* &quot;-&quot;??_);_(@_)"/>
      <border diagonalUp="0" diagonalDown="0" outline="0">
        <left style="medium">
          <color indexed="64"/>
        </left>
        <right/>
        <top/>
        <bottom/>
      </border>
    </dxf>
    <dxf>
      <numFmt numFmtId="165" formatCode="_(&quot;$&quot;* #,##0_);_(&quot;$&quot;* \(#,##0\);_(&quot;$&quot;* &quot;-&quot;??_);_(@_)"/>
    </dxf>
    <dxf>
      <font>
        <b val="0"/>
        <i val="0"/>
        <strike val="0"/>
        <condense val="0"/>
        <extend val="0"/>
        <outline val="0"/>
        <shadow val="0"/>
        <u val="none"/>
        <vertAlign val="baseline"/>
        <sz val="10"/>
        <color auto="1"/>
        <name val="Verdana"/>
        <family val="2"/>
        <scheme val="none"/>
      </font>
      <numFmt numFmtId="165" formatCode="_(&quot;$&quot;* #,##0_);_(&quot;$&quot;* \(#,##0\);_(&quot;$&quot;* &quot;-&quot;??_);_(@_)"/>
      <border diagonalUp="0" diagonalDown="0" outline="0">
        <left style="medium">
          <color indexed="64"/>
        </left>
        <right/>
        <top/>
        <bottom/>
      </border>
    </dxf>
    <dxf>
      <numFmt numFmtId="165" formatCode="_(&quot;$&quot;* #,##0_);_(&quot;$&quot;* \(#,##0\);_(&quot;$&quot;* &quot;-&quot;??_);_(@_)"/>
    </dxf>
    <dxf>
      <font>
        <b val="0"/>
        <i val="0"/>
        <strike val="0"/>
        <condense val="0"/>
        <extend val="0"/>
        <outline val="0"/>
        <shadow val="0"/>
        <u val="none"/>
        <vertAlign val="baseline"/>
        <sz val="10"/>
        <color auto="1"/>
        <name val="Verdana"/>
        <family val="2"/>
        <scheme val="none"/>
      </font>
      <numFmt numFmtId="165" formatCode="_(&quot;$&quot;* #,##0_);_(&quot;$&quot;* \(#,##0\);_(&quot;$&quot;* &quot;-&quot;??_);_(@_)"/>
      <border diagonalUp="0" diagonalDown="0" outline="0">
        <left style="medium">
          <color indexed="64"/>
        </left>
        <right/>
        <top/>
        <bottom/>
      </border>
    </dxf>
    <dxf>
      <numFmt numFmtId="165" formatCode="_(&quot;$&quot;* #,##0_);_(&quot;$&quot;* \(#,##0\);_(&quot;$&quot;* &quot;-&quot;??_);_(@_)"/>
    </dxf>
    <dxf>
      <font>
        <b val="0"/>
        <i val="0"/>
        <strike val="0"/>
        <condense val="0"/>
        <extend val="0"/>
        <outline val="0"/>
        <shadow val="0"/>
        <u val="none"/>
        <vertAlign val="baseline"/>
        <sz val="10"/>
        <color auto="1"/>
        <name val="Verdana"/>
        <family val="2"/>
        <scheme val="none"/>
      </font>
      <numFmt numFmtId="165" formatCode="_(&quot;$&quot;* #,##0_);_(&quot;$&quot;* \(#,##0\);_(&quot;$&quot;* &quot;-&quot;??_);_(@_)"/>
      <border diagonalUp="0" diagonalDown="0" outline="0">
        <left style="medium">
          <color indexed="64"/>
        </left>
        <right/>
        <top/>
        <bottom/>
      </border>
    </dxf>
    <dxf>
      <numFmt numFmtId="165" formatCode="_(&quot;$&quot;* #,##0_);_(&quot;$&quot;* \(#,##0\);_(&quot;$&quot;* &quot;-&quot;??_);_(@_)"/>
      <border diagonalUp="0" diagonalDown="0">
        <left style="medium">
          <color indexed="64"/>
        </left>
        <right/>
        <top/>
        <bottom/>
        <vertical/>
        <horizontal/>
      </border>
    </dxf>
    <dxf>
      <font>
        <b val="0"/>
        <i val="0"/>
        <strike val="0"/>
        <condense val="0"/>
        <extend val="0"/>
        <outline val="0"/>
        <shadow val="0"/>
        <u val="none"/>
        <vertAlign val="baseline"/>
        <sz val="10"/>
        <color auto="1"/>
        <name val="Verdana"/>
        <family val="2"/>
        <scheme val="none"/>
      </font>
      <numFmt numFmtId="165" formatCode="_(&quot;$&quot;* #,##0_);_(&quot;$&quot;* \(#,##0\);_(&quot;$&quot;* &quot;-&quot;??_);_(@_)"/>
      <border diagonalUp="0" diagonalDown="0" outline="0">
        <left style="medium">
          <color indexed="64"/>
        </left>
        <right/>
        <top/>
        <bottom/>
      </border>
    </dxf>
    <dxf>
      <numFmt numFmtId="165" formatCode="_(&quot;$&quot;* #,##0_);_(&quot;$&quot;* \(#,##0\);_(&quot;$&quot;* &quot;-&quot;??_);_(@_)"/>
      <border diagonalUp="0" diagonalDown="0">
        <left style="thin">
          <color rgb="FF7F7F7F"/>
        </left>
        <right style="medium">
          <color indexed="64"/>
        </right>
        <top style="thin">
          <color rgb="FF7F7F7F"/>
        </top>
        <bottom style="thin">
          <color rgb="FF7F7F7F"/>
        </bottom>
        <vertical/>
        <horizontal/>
      </border>
    </dxf>
    <dxf>
      <font>
        <b val="0"/>
        <i val="0"/>
        <strike val="0"/>
        <condense val="0"/>
        <extend val="0"/>
        <outline val="0"/>
        <shadow val="0"/>
        <u val="none"/>
        <vertAlign val="baseline"/>
        <sz val="10"/>
        <color auto="1"/>
        <name val="Verdana"/>
        <family val="2"/>
        <scheme val="none"/>
      </font>
      <numFmt numFmtId="165" formatCode="_(&quot;$&quot;* #,##0_);_(&quot;$&quot;* \(#,##0\);_(&quot;$&quot;* &quot;-&quot;??_);_(@_)"/>
      <border diagonalUp="0" diagonalDown="0" outline="0">
        <left style="medium">
          <color indexed="64"/>
        </left>
        <right/>
        <top/>
        <bottom/>
      </border>
    </dxf>
    <dxf>
      <numFmt numFmtId="165" formatCode="_(&quot;$&quot;* #,##0_);_(&quot;$&quot;* \(#,##0\);_(&quot;$&quot;* &quot;-&quot;??_);_(@_)"/>
    </dxf>
    <dxf>
      <font>
        <b val="0"/>
        <i val="0"/>
        <strike val="0"/>
        <condense val="0"/>
        <extend val="0"/>
        <outline val="0"/>
        <shadow val="0"/>
        <u val="none"/>
        <vertAlign val="baseline"/>
        <sz val="10"/>
        <color auto="1"/>
        <name val="Verdana"/>
        <family val="2"/>
        <scheme val="none"/>
      </font>
      <numFmt numFmtId="165" formatCode="_(&quot;$&quot;* #,##0_);_(&quot;$&quot;* \(#,##0\);_(&quot;$&quot;* &quot;-&quot;??_);_(@_)"/>
      <border diagonalUp="0" diagonalDown="0" outline="0">
        <left style="medium">
          <color indexed="64"/>
        </left>
        <right/>
        <top/>
        <bottom/>
      </border>
    </dxf>
    <dxf>
      <numFmt numFmtId="165" formatCode="_(&quot;$&quot;* #,##0_);_(&quot;$&quot;* \(#,##0\);_(&quot;$&quot;* &quot;-&quot;??_);_(@_)"/>
    </dxf>
    <dxf>
      <font>
        <b val="0"/>
        <i val="0"/>
        <strike val="0"/>
        <condense val="0"/>
        <extend val="0"/>
        <outline val="0"/>
        <shadow val="0"/>
        <u val="none"/>
        <vertAlign val="baseline"/>
        <sz val="10"/>
        <color auto="1"/>
        <name val="Verdana"/>
        <family val="2"/>
        <scheme val="none"/>
      </font>
      <numFmt numFmtId="165" formatCode="_(&quot;$&quot;* #,##0_);_(&quot;$&quot;* \(#,##0\);_(&quot;$&quot;* &quot;-&quot;??_);_(@_)"/>
      <border diagonalUp="0" diagonalDown="0" outline="0">
        <left style="medium">
          <color indexed="64"/>
        </left>
        <right/>
        <top/>
        <bottom/>
      </border>
    </dxf>
    <dxf>
      <numFmt numFmtId="165" formatCode="_(&quot;$&quot;* #,##0_);_(&quot;$&quot;* \(#,##0\);_(&quot;$&quot;* &quot;-&quot;??_);_(@_)"/>
    </dxf>
    <dxf>
      <font>
        <b val="0"/>
        <i val="0"/>
        <strike val="0"/>
        <condense val="0"/>
        <extend val="0"/>
        <outline val="0"/>
        <shadow val="0"/>
        <u val="none"/>
        <vertAlign val="baseline"/>
        <sz val="10"/>
        <color auto="1"/>
        <name val="Verdana"/>
        <family val="2"/>
        <scheme val="none"/>
      </font>
      <numFmt numFmtId="165" formatCode="_(&quot;$&quot;* #,##0_);_(&quot;$&quot;* \(#,##0\);_(&quot;$&quot;* &quot;-&quot;??_);_(@_)"/>
      <border diagonalUp="0" diagonalDown="0" outline="0">
        <left style="medium">
          <color indexed="64"/>
        </left>
        <right/>
        <top/>
        <bottom/>
      </border>
    </dxf>
    <dxf>
      <numFmt numFmtId="165" formatCode="_(&quot;$&quot;* #,##0_);_(&quot;$&quot;* \(#,##0\);_(&quot;$&quot;* &quot;-&quot;??_);_(@_)"/>
      <border diagonalUp="0" diagonalDown="0">
        <left style="medium">
          <color indexed="64"/>
        </left>
        <right/>
        <top/>
        <bottom/>
        <vertical/>
        <horizontal/>
      </border>
    </dxf>
    <dxf>
      <font>
        <b val="0"/>
        <i val="0"/>
        <strike val="0"/>
        <condense val="0"/>
        <extend val="0"/>
        <outline val="0"/>
        <shadow val="0"/>
        <u val="none"/>
        <vertAlign val="baseline"/>
        <sz val="10"/>
        <color auto="1"/>
        <name val="Verdana"/>
        <family val="2"/>
        <scheme val="none"/>
      </font>
      <numFmt numFmtId="165" formatCode="_(&quot;$&quot;* #,##0_);_(&quot;$&quot;* \(#,##0\);_(&quot;$&quot;* &quot;-&quot;??_);_(@_)"/>
      <border diagonalUp="0" diagonalDown="0" outline="0">
        <left style="medium">
          <color indexed="64"/>
        </left>
        <right/>
        <top/>
        <bottom/>
      </border>
    </dxf>
    <dxf>
      <numFmt numFmtId="165" formatCode="_(&quot;$&quot;* #,##0_);_(&quot;$&quot;* \(#,##0\);_(&quot;$&quot;* &quot;-&quot;??_);_(@_)"/>
      <border diagonalUp="0" diagonalDown="0">
        <left style="thin">
          <color rgb="FF7F7F7F"/>
        </left>
        <right style="medium">
          <color indexed="64"/>
        </right>
        <top style="thin">
          <color rgb="FF7F7F7F"/>
        </top>
        <bottom style="thin">
          <color rgb="FF7F7F7F"/>
        </bottom>
        <vertical/>
        <horizontal/>
      </border>
    </dxf>
    <dxf>
      <font>
        <b val="0"/>
        <i val="0"/>
        <strike val="0"/>
        <condense val="0"/>
        <extend val="0"/>
        <outline val="0"/>
        <shadow val="0"/>
        <u val="none"/>
        <vertAlign val="baseline"/>
        <sz val="10"/>
        <color auto="1"/>
        <name val="Verdana"/>
        <family val="2"/>
        <scheme val="none"/>
      </font>
      <numFmt numFmtId="165" formatCode="_(&quot;$&quot;* #,##0_);_(&quot;$&quot;* \(#,##0\);_(&quot;$&quot;* &quot;-&quot;??_);_(@_)"/>
      <border diagonalUp="0" diagonalDown="0" outline="0">
        <left style="medium">
          <color indexed="64"/>
        </left>
        <right/>
        <top/>
        <bottom/>
      </border>
    </dxf>
    <dxf>
      <numFmt numFmtId="165" formatCode="_(&quot;$&quot;* #,##0_);_(&quot;$&quot;* \(#,##0\);_(&quot;$&quot;* &quot;-&quot;??_);_(@_)"/>
    </dxf>
    <dxf>
      <font>
        <b val="0"/>
        <i val="0"/>
        <strike val="0"/>
        <condense val="0"/>
        <extend val="0"/>
        <outline val="0"/>
        <shadow val="0"/>
        <u val="none"/>
        <vertAlign val="baseline"/>
        <sz val="10"/>
        <color auto="1"/>
        <name val="Verdana"/>
        <family val="2"/>
        <scheme val="none"/>
      </font>
      <numFmt numFmtId="165" formatCode="_(&quot;$&quot;* #,##0_);_(&quot;$&quot;* \(#,##0\);_(&quot;$&quot;* &quot;-&quot;??_);_(@_)"/>
      <border diagonalUp="0" diagonalDown="0" outline="0">
        <left style="medium">
          <color indexed="64"/>
        </left>
        <right/>
        <top/>
        <bottom/>
      </border>
    </dxf>
    <dxf>
      <numFmt numFmtId="165" formatCode="_(&quot;$&quot;* #,##0_);_(&quot;$&quot;* \(#,##0\);_(&quot;$&quot;* &quot;-&quot;??_);_(@_)"/>
    </dxf>
    <dxf>
      <font>
        <b val="0"/>
        <i val="0"/>
        <strike val="0"/>
        <condense val="0"/>
        <extend val="0"/>
        <outline val="0"/>
        <shadow val="0"/>
        <u val="none"/>
        <vertAlign val="baseline"/>
        <sz val="10"/>
        <color auto="1"/>
        <name val="Verdana"/>
        <family val="2"/>
        <scheme val="none"/>
      </font>
      <numFmt numFmtId="165" formatCode="_(&quot;$&quot;* #,##0_);_(&quot;$&quot;* \(#,##0\);_(&quot;$&quot;* &quot;-&quot;??_);_(@_)"/>
      <border diagonalUp="0" diagonalDown="0" outline="0">
        <left style="medium">
          <color indexed="64"/>
        </left>
        <right/>
        <top/>
        <bottom/>
      </border>
    </dxf>
    <dxf>
      <numFmt numFmtId="165" formatCode="_(&quot;$&quot;* #,##0_);_(&quot;$&quot;* \(#,##0\);_(&quot;$&quot;* &quot;-&quot;??_);_(@_)"/>
    </dxf>
    <dxf>
      <font>
        <b val="0"/>
        <i val="0"/>
        <strike val="0"/>
        <condense val="0"/>
        <extend val="0"/>
        <outline val="0"/>
        <shadow val="0"/>
        <u val="none"/>
        <vertAlign val="baseline"/>
        <sz val="10"/>
        <color auto="1"/>
        <name val="Verdana"/>
        <family val="2"/>
        <scheme val="none"/>
      </font>
      <numFmt numFmtId="165" formatCode="_(&quot;$&quot;* #,##0_);_(&quot;$&quot;* \(#,##0\);_(&quot;$&quot;* &quot;-&quot;??_);_(@_)"/>
      <border diagonalUp="0" diagonalDown="0" outline="0">
        <left style="medium">
          <color indexed="64"/>
        </left>
        <right/>
        <top/>
        <bottom/>
      </border>
    </dxf>
    <dxf>
      <numFmt numFmtId="165" formatCode="_(&quot;$&quot;* #,##0_);_(&quot;$&quot;* \(#,##0\);_(&quot;$&quot;* &quot;-&quot;??_);_(@_)"/>
    </dxf>
    <dxf>
      <font>
        <b val="0"/>
        <i val="0"/>
        <strike val="0"/>
        <condense val="0"/>
        <extend val="0"/>
        <outline val="0"/>
        <shadow val="0"/>
        <u val="none"/>
        <vertAlign val="baseline"/>
        <sz val="10"/>
        <color auto="1"/>
        <name val="Verdana"/>
        <family val="2"/>
        <scheme val="none"/>
      </font>
      <numFmt numFmtId="165" formatCode="_(&quot;$&quot;* #,##0_);_(&quot;$&quot;* \(#,##0\);_(&quot;$&quot;* &quot;-&quot;??_);_(@_)"/>
      <border diagonalUp="0" diagonalDown="0" outline="0">
        <left style="medium">
          <color indexed="64"/>
        </left>
        <right/>
        <top/>
        <bottom/>
      </border>
    </dxf>
    <dxf>
      <numFmt numFmtId="165" formatCode="_(&quot;$&quot;* #,##0_);_(&quot;$&quot;* \(#,##0\);_(&quot;$&quot;* &quot;-&quot;??_);_(@_)"/>
      <border diagonalUp="0" diagonalDown="0">
        <left style="medium">
          <color indexed="64"/>
        </left>
        <right/>
        <top/>
        <bottom/>
        <vertical/>
        <horizontal/>
      </border>
    </dxf>
    <dxf>
      <font>
        <b val="0"/>
        <i val="0"/>
        <strike val="0"/>
        <condense val="0"/>
        <extend val="0"/>
        <outline val="0"/>
        <shadow val="0"/>
        <u val="none"/>
        <vertAlign val="baseline"/>
        <sz val="10"/>
        <color auto="1"/>
        <name val="Verdana"/>
        <family val="2"/>
        <scheme val="none"/>
      </font>
      <numFmt numFmtId="165" formatCode="_(&quot;$&quot;* #,##0_);_(&quot;$&quot;* \(#,##0\);_(&quot;$&quot;* &quot;-&quot;??_);_(@_)"/>
      <border diagonalUp="0" diagonalDown="0" outline="0">
        <left style="medium">
          <color indexed="64"/>
        </left>
        <right/>
        <top/>
        <bottom/>
      </border>
    </dxf>
    <dxf>
      <numFmt numFmtId="165" formatCode="_(&quot;$&quot;* #,##0_);_(&quot;$&quot;* \(#,##0\);_(&quot;$&quot;* &quot;-&quot;??_);_(@_)"/>
      <border diagonalUp="0" diagonalDown="0">
        <left style="thin">
          <color rgb="FF7F7F7F"/>
        </left>
        <right style="medium">
          <color indexed="64"/>
        </right>
        <top style="thin">
          <color rgb="FF7F7F7F"/>
        </top>
        <bottom style="thin">
          <color rgb="FF7F7F7F"/>
        </bottom>
        <vertical/>
        <horizontal/>
      </border>
    </dxf>
    <dxf>
      <font>
        <b val="0"/>
        <i val="0"/>
        <strike val="0"/>
        <condense val="0"/>
        <extend val="0"/>
        <outline val="0"/>
        <shadow val="0"/>
        <u val="none"/>
        <vertAlign val="baseline"/>
        <sz val="10"/>
        <color auto="1"/>
        <name val="Verdana"/>
        <family val="2"/>
        <scheme val="none"/>
      </font>
      <numFmt numFmtId="165" formatCode="_(&quot;$&quot;* #,##0_);_(&quot;$&quot;* \(#,##0\);_(&quot;$&quot;* &quot;-&quot;??_);_(@_)"/>
      <border diagonalUp="0" diagonalDown="0" outline="0">
        <left style="medium">
          <color indexed="64"/>
        </left>
        <right/>
        <top/>
        <bottom/>
      </border>
    </dxf>
    <dxf>
      <numFmt numFmtId="165" formatCode="_(&quot;$&quot;* #,##0_);_(&quot;$&quot;* \(#,##0\);_(&quot;$&quot;* &quot;-&quot;??_);_(@_)"/>
    </dxf>
    <dxf>
      <font>
        <b val="0"/>
        <i val="0"/>
        <strike val="0"/>
        <condense val="0"/>
        <extend val="0"/>
        <outline val="0"/>
        <shadow val="0"/>
        <u val="none"/>
        <vertAlign val="baseline"/>
        <sz val="10"/>
        <color auto="1"/>
        <name val="Verdana"/>
        <family val="2"/>
        <scheme val="none"/>
      </font>
      <numFmt numFmtId="165" formatCode="_(&quot;$&quot;* #,##0_);_(&quot;$&quot;* \(#,##0\);_(&quot;$&quot;* &quot;-&quot;??_);_(@_)"/>
      <border diagonalUp="0" diagonalDown="0" outline="0">
        <left style="medium">
          <color indexed="64"/>
        </left>
        <right/>
        <top/>
        <bottom/>
      </border>
    </dxf>
    <dxf>
      <numFmt numFmtId="165" formatCode="_(&quot;$&quot;* #,##0_);_(&quot;$&quot;* \(#,##0\);_(&quot;$&quot;* &quot;-&quot;??_);_(@_)"/>
      <border diagonalUp="0" diagonalDown="0">
        <left style="medium">
          <color indexed="64"/>
        </left>
        <right/>
        <top/>
        <bottom/>
        <vertical/>
        <horizontal/>
      </border>
    </dxf>
    <dxf>
      <font>
        <b val="0"/>
        <i val="0"/>
        <strike val="0"/>
        <condense val="0"/>
        <extend val="0"/>
        <outline val="0"/>
        <shadow val="0"/>
        <u val="none"/>
        <vertAlign val="baseline"/>
        <sz val="10"/>
        <color auto="1"/>
        <name val="Verdana"/>
        <family val="2"/>
        <scheme val="none"/>
      </font>
      <numFmt numFmtId="165" formatCode="_(&quot;$&quot;* #,##0_);_(&quot;$&quot;* \(#,##0\);_(&quot;$&quot;* &quot;-&quot;??_);_(@_)"/>
      <border diagonalUp="0" diagonalDown="0" outline="0">
        <left style="medium">
          <color indexed="64"/>
        </left>
        <right/>
        <top/>
        <bottom/>
      </border>
    </dxf>
    <dxf>
      <numFmt numFmtId="165" formatCode="_(&quot;$&quot;* #,##0_);_(&quot;$&quot;* \(#,##0\);_(&quot;$&quot;* &quot;-&quot;??_);_(@_)"/>
      <border diagonalUp="0" diagonalDown="0">
        <left style="thin">
          <color rgb="FF7F7F7F"/>
        </left>
        <right style="medium">
          <color indexed="64"/>
        </right>
        <top style="thin">
          <color rgb="FF7F7F7F"/>
        </top>
        <bottom style="thin">
          <color rgb="FF7F7F7F"/>
        </bottom>
        <vertical/>
        <horizontal/>
      </border>
    </dxf>
    <dxf>
      <font>
        <b val="0"/>
        <i val="0"/>
        <strike val="0"/>
        <condense val="0"/>
        <extend val="0"/>
        <outline val="0"/>
        <shadow val="0"/>
        <u val="none"/>
        <vertAlign val="baseline"/>
        <sz val="10"/>
        <color auto="1"/>
        <name val="Verdana"/>
        <family val="2"/>
        <scheme val="none"/>
      </font>
      <numFmt numFmtId="165" formatCode="_(&quot;$&quot;* #,##0_);_(&quot;$&quot;* \(#,##0\);_(&quot;$&quot;* &quot;-&quot;??_);_(@_)"/>
      <border diagonalUp="0" diagonalDown="0" outline="0">
        <left style="medium">
          <color indexed="64"/>
        </left>
        <right/>
        <top/>
        <bottom/>
      </border>
    </dxf>
    <dxf>
      <numFmt numFmtId="165" formatCode="_(&quot;$&quot;* #,##0_);_(&quot;$&quot;* \(#,##0\);_(&quot;$&quot;* &quot;-&quot;??_);_(@_)"/>
      <border diagonalUp="0" diagonalDown="0">
        <left style="medium">
          <color indexed="64"/>
        </left>
        <right/>
        <top/>
        <bottom/>
        <vertical/>
        <horizontal/>
      </border>
    </dxf>
    <dxf>
      <font>
        <b val="0"/>
        <i val="0"/>
        <strike val="0"/>
        <condense val="0"/>
        <extend val="0"/>
        <outline val="0"/>
        <shadow val="0"/>
        <u val="none"/>
        <vertAlign val="baseline"/>
        <sz val="10"/>
        <color auto="1"/>
        <name val="Verdana"/>
        <family val="2"/>
        <scheme val="none"/>
      </font>
      <numFmt numFmtId="19" formatCode="m/d/yyyy"/>
      <alignment horizontal="center" vertical="center" textRotation="0" wrapText="1" indent="0" justifyLastLine="0" shrinkToFit="0" readingOrder="0"/>
      <border diagonalUp="0" diagonalDown="0" outline="0">
        <left style="medium">
          <color indexed="64"/>
        </left>
        <right style="medium">
          <color indexed="64"/>
        </right>
        <top/>
        <bottom/>
      </border>
    </dxf>
    <dxf>
      <numFmt numFmtId="19" formatCode="m/d/yyyy"/>
      <alignment horizontal="center" vertical="center" textRotation="0" wrapText="1" indent="0" justifyLastLine="0" shrinkToFit="0" readingOrder="0"/>
      <border diagonalUp="0" diagonalDown="0">
        <left style="medium">
          <color indexed="64"/>
        </left>
        <right style="medium">
          <color indexed="64"/>
        </right>
        <top/>
        <bottom/>
        <vertical/>
        <horizontal/>
      </border>
    </dxf>
    <dxf>
      <border diagonalUp="0" diagonalDown="0">
        <left style="medium">
          <color indexed="64"/>
        </left>
        <right style="medium">
          <color indexed="64"/>
        </right>
        <top style="medium">
          <color indexed="64"/>
        </top>
        <bottom style="medium">
          <color indexed="64"/>
        </bottom>
      </border>
    </dxf>
    <dxf>
      <border>
        <bottom style="medium">
          <color indexed="64"/>
        </bottom>
      </border>
    </dxf>
    <dxf>
      <alignment horizontal="center" vertical="center" textRotation="0" wrapText="1" indent="0" justifyLastLine="0" shrinkToFit="0" readingOrder="0"/>
      <border diagonalUp="0" diagonalDown="0">
        <left/>
        <right/>
        <top/>
        <bottom/>
        <vertical/>
        <horizontal/>
      </border>
    </dxf>
  </dxfs>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1/relationships/timelineCache" Target="timelineCaches/timelineCache2.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11/relationships/timelineCache" Target="timelineCaches/timelineCache1.xml"/><Relationship Id="rId12" Type="http://schemas.openxmlformats.org/officeDocument/2006/relationships/calcChain" Target="calcChain.xml"/><Relationship Id="rId17" Type="http://schemas.openxmlformats.org/officeDocument/2006/relationships/customXml" Target="../customXml/item5.xml"/><Relationship Id="rId2" Type="http://schemas.openxmlformats.org/officeDocument/2006/relationships/worksheet" Target="worksheets/sheet2.xml"/><Relationship Id="rId16"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[OConnorJ_Assignment7_StrategyTeam.xlsx]P&amp;L Summary!SalesExpensesProfit</c:name>
    <c:fmtId val="0"/>
  </c:pivotSource>
  <c:chart>
    <c:autoTitleDeleted val="0"/>
    <c:pivotFmts>
      <c:pivotFmt>
        <c:idx val="0"/>
        <c:spPr>
          <a:ln w="28575" cap="rnd">
            <a:solidFill>
              <a:schemeClr val="accent3"/>
            </a:solidFill>
            <a:round/>
          </a:ln>
          <a:effectLst>
            <a:outerShdw blurRad="50800" dist="50800" dir="5400000" algn="ctr" rotWithShape="0">
              <a:schemeClr val="bg1"/>
            </a:outerShdw>
          </a:effectLst>
        </c:spPr>
        <c:marker>
          <c:symbol val="circle"/>
          <c:size val="5"/>
          <c:spPr>
            <a:solidFill>
              <a:schemeClr val="accent3"/>
            </a:solidFill>
            <a:ln w="9525">
              <a:solidFill>
                <a:schemeClr val="accent3"/>
              </a:solidFill>
            </a:ln>
            <a:effectLst>
              <a:outerShdw blurRad="50800" dist="50800" dir="5400000" algn="ctr" rotWithShape="0">
                <a:schemeClr val="bg1"/>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5"/>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'P&amp;L Summary'!$B$7</c:f>
              <c:strCache>
                <c:ptCount val="1"/>
                <c:pt idx="0">
                  <c:v>Sales</c:v>
                </c:pt>
              </c:strCache>
            </c:strRef>
          </c:tx>
          <c:spPr>
            <a:ln w="28575" cap="rnd">
              <a:solidFill>
                <a:schemeClr val="accent3"/>
              </a:solidFill>
              <a:round/>
            </a:ln>
            <a:effectLst>
              <a:outerShdw blurRad="50800" dist="50800" dir="5400000" algn="ctr" rotWithShape="0">
                <a:schemeClr val="bg1"/>
              </a:outerShdw>
            </a:effectLst>
          </c:spPr>
          <c:marker>
            <c:symbol val="circle"/>
            <c:size val="5"/>
            <c:spPr>
              <a:solidFill>
                <a:schemeClr val="accent3"/>
              </a:solidFill>
              <a:ln w="9525">
                <a:solidFill>
                  <a:schemeClr val="accent3"/>
                </a:solidFill>
              </a:ln>
              <a:effectLst>
                <a:outerShdw blurRad="50800" dist="50800" dir="5400000" algn="ctr" rotWithShape="0">
                  <a:schemeClr val="bg1"/>
                </a:outerShdw>
              </a:effectLst>
            </c:spPr>
          </c:marker>
          <c:cat>
            <c:multiLvlStrRef>
              <c:f>'P&amp;L Summary'!$A$8:$A$23</c:f>
              <c:multiLvlStrCache>
                <c:ptCount val="12"/>
                <c:lvl>
                  <c:pt idx="0">
                    <c:v>Mar</c:v>
                  </c:pt>
                  <c:pt idx="1">
                    <c:v>Jun</c:v>
                  </c:pt>
                  <c:pt idx="2">
                    <c:v>Sep</c:v>
                  </c:pt>
                  <c:pt idx="3">
                    <c:v>Dec</c:v>
                  </c:pt>
                  <c:pt idx="4">
                    <c:v>Mar</c:v>
                  </c:pt>
                  <c:pt idx="5">
                    <c:v>Jun</c:v>
                  </c:pt>
                  <c:pt idx="6">
                    <c:v>Sep</c:v>
                  </c:pt>
                  <c:pt idx="7">
                    <c:v>Dec</c:v>
                  </c:pt>
                  <c:pt idx="8">
                    <c:v>Mar</c:v>
                  </c:pt>
                  <c:pt idx="9">
                    <c:v>Jun</c:v>
                  </c:pt>
                  <c:pt idx="10">
                    <c:v>Sep</c:v>
                  </c:pt>
                  <c:pt idx="11">
                    <c:v>Dec</c:v>
                  </c:pt>
                </c:lvl>
                <c:lvl>
                  <c:pt idx="0">
                    <c:v>2018</c:v>
                  </c:pt>
                  <c:pt idx="4">
                    <c:v>2019</c:v>
                  </c:pt>
                  <c:pt idx="8">
                    <c:v>2020</c:v>
                  </c:pt>
                </c:lvl>
              </c:multiLvlStrCache>
            </c:multiLvlStrRef>
          </c:cat>
          <c:val>
            <c:numRef>
              <c:f>'P&amp;L Summary'!$B$8:$B$23</c:f>
              <c:numCache>
                <c:formatCode>_("$"* #,##0_);_("$"* \(#,##0\);_("$"* "-"??_);_(@_)</c:formatCode>
                <c:ptCount val="12"/>
                <c:pt idx="0">
                  <c:v>0</c:v>
                </c:pt>
                <c:pt idx="1">
                  <c:v>44960517</c:v>
                </c:pt>
                <c:pt idx="2">
                  <c:v>44960517</c:v>
                </c:pt>
                <c:pt idx="3">
                  <c:v>44960517</c:v>
                </c:pt>
                <c:pt idx="4">
                  <c:v>44906517</c:v>
                </c:pt>
                <c:pt idx="5">
                  <c:v>44906517</c:v>
                </c:pt>
                <c:pt idx="6">
                  <c:v>44906517</c:v>
                </c:pt>
                <c:pt idx="7">
                  <c:v>63411075</c:v>
                </c:pt>
                <c:pt idx="8">
                  <c:v>63411075</c:v>
                </c:pt>
                <c:pt idx="9">
                  <c:v>63411075</c:v>
                </c:pt>
                <c:pt idx="10">
                  <c:v>63411075</c:v>
                </c:pt>
                <c:pt idx="11">
                  <c:v>63411075</c:v>
                </c:pt>
              </c:numCache>
            </c:numRef>
          </c:val>
          <c:smooth val="0"/>
          <c:extLst>
            <c:ext xmlns:c16="http://schemas.microsoft.com/office/drawing/2014/chart" uri="{C3380CC4-5D6E-409C-BE32-E72D297353CC}">
              <c16:uniqueId val="{00000000-922B-425A-BE27-BED08FF75A69}"/>
            </c:ext>
          </c:extLst>
        </c:ser>
        <c:ser>
          <c:idx val="1"/>
          <c:order val="1"/>
          <c:tx>
            <c:strRef>
              <c:f>'P&amp;L Summary'!$C$7</c:f>
              <c:strCache>
                <c:ptCount val="1"/>
                <c:pt idx="0">
                  <c:v>Expenses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multiLvlStrRef>
              <c:f>'P&amp;L Summary'!$A$8:$A$23</c:f>
              <c:multiLvlStrCache>
                <c:ptCount val="12"/>
                <c:lvl>
                  <c:pt idx="0">
                    <c:v>Mar</c:v>
                  </c:pt>
                  <c:pt idx="1">
                    <c:v>Jun</c:v>
                  </c:pt>
                  <c:pt idx="2">
                    <c:v>Sep</c:v>
                  </c:pt>
                  <c:pt idx="3">
                    <c:v>Dec</c:v>
                  </c:pt>
                  <c:pt idx="4">
                    <c:v>Mar</c:v>
                  </c:pt>
                  <c:pt idx="5">
                    <c:v>Jun</c:v>
                  </c:pt>
                  <c:pt idx="6">
                    <c:v>Sep</c:v>
                  </c:pt>
                  <c:pt idx="7">
                    <c:v>Dec</c:v>
                  </c:pt>
                  <c:pt idx="8">
                    <c:v>Mar</c:v>
                  </c:pt>
                  <c:pt idx="9">
                    <c:v>Jun</c:v>
                  </c:pt>
                  <c:pt idx="10">
                    <c:v>Sep</c:v>
                  </c:pt>
                  <c:pt idx="11">
                    <c:v>Dec</c:v>
                  </c:pt>
                </c:lvl>
                <c:lvl>
                  <c:pt idx="0">
                    <c:v>2018</c:v>
                  </c:pt>
                  <c:pt idx="4">
                    <c:v>2019</c:v>
                  </c:pt>
                  <c:pt idx="8">
                    <c:v>2020</c:v>
                  </c:pt>
                </c:lvl>
              </c:multiLvlStrCache>
            </c:multiLvlStrRef>
          </c:cat>
          <c:val>
            <c:numRef>
              <c:f>'P&amp;L Summary'!$C$8:$C$23</c:f>
              <c:numCache>
                <c:formatCode>_("$"* #,##0_);_("$"* \(#,##0\);_("$"* "-"??_);_(@_)</c:formatCode>
                <c:ptCount val="12"/>
                <c:pt idx="0">
                  <c:v>28919725.672499999</c:v>
                </c:pt>
                <c:pt idx="1">
                  <c:v>32348212.344999999</c:v>
                </c:pt>
                <c:pt idx="2">
                  <c:v>32350212.344999999</c:v>
                </c:pt>
                <c:pt idx="3">
                  <c:v>32350212.344999999</c:v>
                </c:pt>
                <c:pt idx="4">
                  <c:v>31516427.344999999</c:v>
                </c:pt>
                <c:pt idx="5">
                  <c:v>31515777.344999999</c:v>
                </c:pt>
                <c:pt idx="6">
                  <c:v>31515777.344999999</c:v>
                </c:pt>
                <c:pt idx="7">
                  <c:v>44068176.375</c:v>
                </c:pt>
                <c:pt idx="8">
                  <c:v>44300466.375</c:v>
                </c:pt>
                <c:pt idx="9">
                  <c:v>44300466.375</c:v>
                </c:pt>
                <c:pt idx="10">
                  <c:v>44300466.375</c:v>
                </c:pt>
                <c:pt idx="11">
                  <c:v>44300466.375</c:v>
                </c:pt>
              </c:numCache>
            </c:numRef>
          </c:val>
          <c:smooth val="0"/>
          <c:extLst>
            <c:ext xmlns:c16="http://schemas.microsoft.com/office/drawing/2014/chart" uri="{C3380CC4-5D6E-409C-BE32-E72D297353CC}">
              <c16:uniqueId val="{00000001-922B-425A-BE27-BED08FF75A69}"/>
            </c:ext>
          </c:extLst>
        </c:ser>
        <c:ser>
          <c:idx val="2"/>
          <c:order val="2"/>
          <c:tx>
            <c:strRef>
              <c:f>'P&amp;L Summary'!$D$7</c:f>
              <c:strCache>
                <c:ptCount val="1"/>
                <c:pt idx="0">
                  <c:v>Profit</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multiLvlStrRef>
              <c:f>'P&amp;L Summary'!$A$8:$A$23</c:f>
              <c:multiLvlStrCache>
                <c:ptCount val="12"/>
                <c:lvl>
                  <c:pt idx="0">
                    <c:v>Mar</c:v>
                  </c:pt>
                  <c:pt idx="1">
                    <c:v>Jun</c:v>
                  </c:pt>
                  <c:pt idx="2">
                    <c:v>Sep</c:v>
                  </c:pt>
                  <c:pt idx="3">
                    <c:v>Dec</c:v>
                  </c:pt>
                  <c:pt idx="4">
                    <c:v>Mar</c:v>
                  </c:pt>
                  <c:pt idx="5">
                    <c:v>Jun</c:v>
                  </c:pt>
                  <c:pt idx="6">
                    <c:v>Sep</c:v>
                  </c:pt>
                  <c:pt idx="7">
                    <c:v>Dec</c:v>
                  </c:pt>
                  <c:pt idx="8">
                    <c:v>Mar</c:v>
                  </c:pt>
                  <c:pt idx="9">
                    <c:v>Jun</c:v>
                  </c:pt>
                  <c:pt idx="10">
                    <c:v>Sep</c:v>
                  </c:pt>
                  <c:pt idx="11">
                    <c:v>Dec</c:v>
                  </c:pt>
                </c:lvl>
                <c:lvl>
                  <c:pt idx="0">
                    <c:v>2018</c:v>
                  </c:pt>
                  <c:pt idx="4">
                    <c:v>2019</c:v>
                  </c:pt>
                  <c:pt idx="8">
                    <c:v>2020</c:v>
                  </c:pt>
                </c:lvl>
              </c:multiLvlStrCache>
            </c:multiLvlStrRef>
          </c:cat>
          <c:val>
            <c:numRef>
              <c:f>'P&amp;L Summary'!$D$8:$D$23</c:f>
              <c:numCache>
                <c:formatCode>_("$"* #,##0_);_("$"* \(#,##0\);_("$"* "-"??_);_(@_)</c:formatCode>
                <c:ptCount val="12"/>
                <c:pt idx="0">
                  <c:v>-28919725.672499999</c:v>
                </c:pt>
                <c:pt idx="1">
                  <c:v>-16307421.017499998</c:v>
                </c:pt>
                <c:pt idx="2">
                  <c:v>-3697116.362499997</c:v>
                </c:pt>
                <c:pt idx="3">
                  <c:v>8913188.2925000042</c:v>
                </c:pt>
                <c:pt idx="4">
                  <c:v>22303277.947500005</c:v>
                </c:pt>
                <c:pt idx="5">
                  <c:v>35694017.602500007</c:v>
                </c:pt>
                <c:pt idx="6">
                  <c:v>49084757.257500008</c:v>
                </c:pt>
                <c:pt idx="7">
                  <c:v>68427655.882500008</c:v>
                </c:pt>
                <c:pt idx="8">
                  <c:v>87538264.507500008</c:v>
                </c:pt>
                <c:pt idx="9">
                  <c:v>106648873.13250001</c:v>
                </c:pt>
                <c:pt idx="10">
                  <c:v>125759481.75750001</c:v>
                </c:pt>
                <c:pt idx="11">
                  <c:v>144870090.38249999</c:v>
                </c:pt>
              </c:numCache>
            </c:numRef>
          </c:val>
          <c:smooth val="0"/>
          <c:extLst>
            <c:ext xmlns:c16="http://schemas.microsoft.com/office/drawing/2014/chart" uri="{C3380CC4-5D6E-409C-BE32-E72D297353CC}">
              <c16:uniqueId val="{00000002-922B-425A-BE27-BED08FF75A69}"/>
            </c:ext>
          </c:extLst>
        </c:ser>
        <c:dLbls>
          <c:showLegendKey val="0"/>
          <c:showVal val="0"/>
          <c:showCatName val="0"/>
          <c:showSerName val="0"/>
          <c:showPercent val="0"/>
          <c:showBubbleSize val="0"/>
        </c:dLbls>
        <c:marker val="1"/>
        <c:smooth val="0"/>
        <c:axId val="1161773280"/>
        <c:axId val="1161770784"/>
      </c:lineChart>
      <c:catAx>
        <c:axId val="1161773280"/>
        <c:scaling>
          <c:orientation val="minMax"/>
        </c:scaling>
        <c:delete val="0"/>
        <c:axPos val="t"/>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1770784"/>
        <c:crosses val="max"/>
        <c:auto val="1"/>
        <c:lblAlgn val="ctr"/>
        <c:lblOffset val="100"/>
        <c:noMultiLvlLbl val="0"/>
      </c:catAx>
      <c:valAx>
        <c:axId val="1161770784"/>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17732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[OConnorJ_Assignment7_StrategyTeam.xlsx]Expense Breakdown!PivotTable3</c:name>
    <c:fmtId val="0"/>
  </c:pivotSource>
  <c:chart>
    <c:autoTitleDeleted val="0"/>
    <c:pivotFmts>
      <c:pivotFmt>
        <c:idx val="0"/>
        <c:spPr>
          <a:solidFill>
            <a:schemeClr val="accent1"/>
          </a:solidFill>
          <a:ln>
            <a:noFill/>
          </a:ln>
          <a:effectLst/>
        </c:spPr>
        <c:marker>
          <c:symbol val="none"/>
        </c:marker>
        <c:dLbl>
          <c:idx val="0"/>
          <c:spPr>
            <a:solidFill>
              <a:schemeClr val="bg1">
                <a:alpha val="50000"/>
              </a:schemeClr>
            </a:solid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1"/>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solidFill>
              <a:schemeClr val="bg1">
                <a:alpha val="5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1"/>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solidFill>
              <a:schemeClr val="bg1">
                <a:alpha val="50000"/>
              </a:schemeClr>
            </a:solid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1"/>
          <c:showPercent val="0"/>
          <c:showBubbleSize val="0"/>
          <c:extLst>
            <c:ext xmlns:c15="http://schemas.microsoft.com/office/drawing/2012/chart" uri="{CE6537A1-D6FC-4f65-9D91-7224C49458BB}"/>
          </c:extLst>
        </c:dLbl>
      </c:pivotFmt>
      <c:pivotFmt>
        <c:idx val="7"/>
        <c:spPr>
          <a:solidFill>
            <a:schemeClr val="accent1"/>
          </a:solidFill>
          <a:ln>
            <a:noFill/>
          </a:ln>
          <a:effectLst/>
        </c:spPr>
        <c:dLbl>
          <c:idx val="0"/>
          <c:layout>
            <c:manualLayout>
              <c:x val="-0.31004200076365029"/>
              <c:y val="-9.5923261390887291E-2"/>
            </c:manualLayout>
          </c:layout>
          <c:spPr>
            <a:solidFill>
              <a:schemeClr val="bg1">
                <a:alpha val="5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1"/>
          <c:showPercent val="0"/>
          <c:showBubbleSize val="0"/>
          <c:extLst>
            <c:ext xmlns:c15="http://schemas.microsoft.com/office/drawing/2012/chart" uri="{CE6537A1-D6FC-4f65-9D91-7224C49458BB}"/>
          </c:extLst>
        </c:dLbl>
      </c:pivotFmt>
    </c:pivotFmts>
    <c:plotArea>
      <c:layout/>
      <c:areaChart>
        <c:grouping val="stacked"/>
        <c:varyColors val="0"/>
        <c:ser>
          <c:idx val="0"/>
          <c:order val="0"/>
          <c:tx>
            <c:strRef>
              <c:f>'Expense Breakdown'!$B$30</c:f>
              <c:strCache>
                <c:ptCount val="1"/>
                <c:pt idx="0">
                  <c:v>Development</c:v>
                </c:pt>
              </c:strCache>
            </c:strRef>
          </c:tx>
          <c:spPr>
            <a:solidFill>
              <a:schemeClr val="accent1"/>
            </a:solidFill>
            <a:ln>
              <a:noFill/>
            </a:ln>
            <a:effectLst/>
          </c:spPr>
          <c:dLbls>
            <c:dLbl>
              <c:idx val="0"/>
              <c:layout>
                <c:manualLayout>
                  <c:x val="-0.31004200076365029"/>
                  <c:y val="-9.5923261390887291E-2"/>
                </c:manualLayout>
              </c:layout>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1-BEA2-4E86-9AB6-FD52B843BFE7}"/>
                </c:ext>
              </c:extLst>
            </c:dLbl>
            <c:spPr>
              <a:solidFill>
                <a:schemeClr val="bg1">
                  <a:alpha val="5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'Expense Breakdown'!$A$31:$A$46</c:f>
              <c:multiLvlStrCache>
                <c:ptCount val="12"/>
                <c:lvl>
                  <c:pt idx="0">
                    <c:v>Mar</c:v>
                  </c:pt>
                  <c:pt idx="1">
                    <c:v>Jun</c:v>
                  </c:pt>
                  <c:pt idx="2">
                    <c:v>Sep</c:v>
                  </c:pt>
                  <c:pt idx="3">
                    <c:v>Dec</c:v>
                  </c:pt>
                  <c:pt idx="4">
                    <c:v>Mar</c:v>
                  </c:pt>
                  <c:pt idx="5">
                    <c:v>Jun</c:v>
                  </c:pt>
                  <c:pt idx="6">
                    <c:v>Sep</c:v>
                  </c:pt>
                  <c:pt idx="7">
                    <c:v>Dec</c:v>
                  </c:pt>
                  <c:pt idx="8">
                    <c:v>Mar</c:v>
                  </c:pt>
                  <c:pt idx="9">
                    <c:v>Jun</c:v>
                  </c:pt>
                  <c:pt idx="10">
                    <c:v>Sep</c:v>
                  </c:pt>
                  <c:pt idx="11">
                    <c:v>Dec</c:v>
                  </c:pt>
                </c:lvl>
                <c:lvl>
                  <c:pt idx="0">
                    <c:v>2018</c:v>
                  </c:pt>
                  <c:pt idx="4">
                    <c:v>2019</c:v>
                  </c:pt>
                  <c:pt idx="8">
                    <c:v>2020</c:v>
                  </c:pt>
                </c:lvl>
              </c:multiLvlStrCache>
            </c:multiLvlStrRef>
          </c:cat>
          <c:val>
            <c:numRef>
              <c:f>'Expense Breakdown'!$B$31:$B$46</c:f>
              <c:numCache>
                <c:formatCode>_("$"* #,##0_);_("$"* \(#,##0\);_("$"* "-"??_);_(@_)</c:formatCode>
                <c:ptCount val="12"/>
                <c:pt idx="0">
                  <c:v>21008400</c:v>
                </c:pt>
                <c:pt idx="1">
                  <c:v>4000</c:v>
                </c:pt>
                <c:pt idx="2">
                  <c:v>6000</c:v>
                </c:pt>
                <c:pt idx="3">
                  <c:v>6000</c:v>
                </c:pt>
                <c:pt idx="4">
                  <c:v>6000</c:v>
                </c:pt>
                <c:pt idx="5">
                  <c:v>6000</c:v>
                </c:pt>
                <c:pt idx="6">
                  <c:v>6000</c:v>
                </c:pt>
                <c:pt idx="7">
                  <c:v>6000</c:v>
                </c:pt>
                <c:pt idx="8">
                  <c:v>6000</c:v>
                </c:pt>
                <c:pt idx="9">
                  <c:v>6000</c:v>
                </c:pt>
                <c:pt idx="10">
                  <c:v>6000</c:v>
                </c:pt>
                <c:pt idx="11">
                  <c:v>6000</c:v>
                </c:pt>
              </c:numCache>
            </c:numRef>
          </c:val>
          <c:extLst>
            <c:ext xmlns:c16="http://schemas.microsoft.com/office/drawing/2014/chart" uri="{C3380CC4-5D6E-409C-BE32-E72D297353CC}">
              <c16:uniqueId val="{00000000-83A5-445E-8055-88A2D4C51404}"/>
            </c:ext>
          </c:extLst>
        </c:ser>
        <c:ser>
          <c:idx val="1"/>
          <c:order val="1"/>
          <c:tx>
            <c:strRef>
              <c:f>'Expense Breakdown'!$C$30</c:f>
              <c:strCache>
                <c:ptCount val="1"/>
                <c:pt idx="0">
                  <c:v>General</c:v>
                </c:pt>
              </c:strCache>
            </c:strRef>
          </c:tx>
          <c:spPr>
            <a:solidFill>
              <a:schemeClr val="accent2"/>
            </a:solidFill>
            <a:ln>
              <a:noFill/>
            </a:ln>
            <a:effectLst/>
          </c:spPr>
          <c:dLbls>
            <c:spPr>
              <a:solidFill>
                <a:schemeClr val="bg1">
                  <a:alpha val="50000"/>
                </a:schemeClr>
              </a:solid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'Expense Breakdown'!$A$31:$A$46</c:f>
              <c:multiLvlStrCache>
                <c:ptCount val="12"/>
                <c:lvl>
                  <c:pt idx="0">
                    <c:v>Mar</c:v>
                  </c:pt>
                  <c:pt idx="1">
                    <c:v>Jun</c:v>
                  </c:pt>
                  <c:pt idx="2">
                    <c:v>Sep</c:v>
                  </c:pt>
                  <c:pt idx="3">
                    <c:v>Dec</c:v>
                  </c:pt>
                  <c:pt idx="4">
                    <c:v>Mar</c:v>
                  </c:pt>
                  <c:pt idx="5">
                    <c:v>Jun</c:v>
                  </c:pt>
                  <c:pt idx="6">
                    <c:v>Sep</c:v>
                  </c:pt>
                  <c:pt idx="7">
                    <c:v>Dec</c:v>
                  </c:pt>
                  <c:pt idx="8">
                    <c:v>Mar</c:v>
                  </c:pt>
                  <c:pt idx="9">
                    <c:v>Jun</c:v>
                  </c:pt>
                  <c:pt idx="10">
                    <c:v>Sep</c:v>
                  </c:pt>
                  <c:pt idx="11">
                    <c:v>Dec</c:v>
                  </c:pt>
                </c:lvl>
                <c:lvl>
                  <c:pt idx="0">
                    <c:v>2018</c:v>
                  </c:pt>
                  <c:pt idx="4">
                    <c:v>2019</c:v>
                  </c:pt>
                  <c:pt idx="8">
                    <c:v>2020</c:v>
                  </c:pt>
                </c:lvl>
              </c:multiLvlStrCache>
            </c:multiLvlStrRef>
          </c:cat>
          <c:val>
            <c:numRef>
              <c:f>'Expense Breakdown'!$C$31:$C$46</c:f>
              <c:numCache>
                <c:formatCode>_("$"* #,##0_);_("$"* \(#,##0\);_("$"* "-"??_);_(@_)</c:formatCode>
                <c:ptCount val="12"/>
                <c:pt idx="0">
                  <c:v>6442873.6724999994</c:v>
                </c:pt>
                <c:pt idx="1">
                  <c:v>12849747.344999999</c:v>
                </c:pt>
                <c:pt idx="2">
                  <c:v>12849747.344999999</c:v>
                </c:pt>
                <c:pt idx="3">
                  <c:v>12849747.344999999</c:v>
                </c:pt>
                <c:pt idx="4">
                  <c:v>12834357.344999999</c:v>
                </c:pt>
                <c:pt idx="5">
                  <c:v>12834357.344999999</c:v>
                </c:pt>
                <c:pt idx="6">
                  <c:v>12834357.344999999</c:v>
                </c:pt>
                <c:pt idx="7">
                  <c:v>18108156.375</c:v>
                </c:pt>
                <c:pt idx="8">
                  <c:v>18108156.375</c:v>
                </c:pt>
                <c:pt idx="9">
                  <c:v>18108156.375</c:v>
                </c:pt>
                <c:pt idx="10">
                  <c:v>18108156.375</c:v>
                </c:pt>
                <c:pt idx="11">
                  <c:v>18108156.375</c:v>
                </c:pt>
              </c:numCache>
            </c:numRef>
          </c:val>
          <c:extLst>
            <c:ext xmlns:c16="http://schemas.microsoft.com/office/drawing/2014/chart" uri="{C3380CC4-5D6E-409C-BE32-E72D297353CC}">
              <c16:uniqueId val="{00000001-83A5-445E-8055-88A2D4C51404}"/>
            </c:ext>
          </c:extLst>
        </c:ser>
        <c:ser>
          <c:idx val="2"/>
          <c:order val="2"/>
          <c:tx>
            <c:strRef>
              <c:f>'Expense Breakdown'!$D$30</c:f>
              <c:strCache>
                <c:ptCount val="1"/>
                <c:pt idx="0">
                  <c:v>Misc</c:v>
                </c:pt>
              </c:strCache>
            </c:strRef>
          </c:tx>
          <c:spPr>
            <a:solidFill>
              <a:schemeClr val="accent3"/>
            </a:solidFill>
            <a:ln>
              <a:noFill/>
            </a:ln>
            <a:effectLst/>
          </c:spPr>
          <c:dLbls>
            <c:spPr>
              <a:solidFill>
                <a:schemeClr val="bg1">
                  <a:alpha val="50000"/>
                </a:schemeClr>
              </a:solid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'Expense Breakdown'!$A$31:$A$46</c:f>
              <c:multiLvlStrCache>
                <c:ptCount val="12"/>
                <c:lvl>
                  <c:pt idx="0">
                    <c:v>Mar</c:v>
                  </c:pt>
                  <c:pt idx="1">
                    <c:v>Jun</c:v>
                  </c:pt>
                  <c:pt idx="2">
                    <c:v>Sep</c:v>
                  </c:pt>
                  <c:pt idx="3">
                    <c:v>Dec</c:v>
                  </c:pt>
                  <c:pt idx="4">
                    <c:v>Mar</c:v>
                  </c:pt>
                  <c:pt idx="5">
                    <c:v>Jun</c:v>
                  </c:pt>
                  <c:pt idx="6">
                    <c:v>Sep</c:v>
                  </c:pt>
                  <c:pt idx="7">
                    <c:v>Dec</c:v>
                  </c:pt>
                  <c:pt idx="8">
                    <c:v>Mar</c:v>
                  </c:pt>
                  <c:pt idx="9">
                    <c:v>Jun</c:v>
                  </c:pt>
                  <c:pt idx="10">
                    <c:v>Sep</c:v>
                  </c:pt>
                  <c:pt idx="11">
                    <c:v>Dec</c:v>
                  </c:pt>
                </c:lvl>
                <c:lvl>
                  <c:pt idx="0">
                    <c:v>2018</c:v>
                  </c:pt>
                  <c:pt idx="4">
                    <c:v>2019</c:v>
                  </c:pt>
                  <c:pt idx="8">
                    <c:v>2020</c:v>
                  </c:pt>
                </c:lvl>
              </c:multiLvlStrCache>
            </c:multiLvlStrRef>
          </c:cat>
          <c:val>
            <c:numRef>
              <c:f>'Expense Breakdown'!$D$31:$D$46</c:f>
              <c:numCache>
                <c:formatCode>_("$"* #,##0_);_("$"* \(#,##0\);_("$"* "-"??_);_(@_)</c:formatCode>
                <c:ptCount val="12"/>
                <c:pt idx="0">
                  <c:v>0</c:v>
                </c:pt>
                <c:pt idx="1">
                  <c:v>16902450</c:v>
                </c:pt>
                <c:pt idx="2">
                  <c:v>16902450</c:v>
                </c:pt>
                <c:pt idx="3">
                  <c:v>16902450</c:v>
                </c:pt>
                <c:pt idx="4">
                  <c:v>16902450</c:v>
                </c:pt>
                <c:pt idx="5">
                  <c:v>16902450</c:v>
                </c:pt>
                <c:pt idx="6">
                  <c:v>16902450</c:v>
                </c:pt>
                <c:pt idx="7">
                  <c:v>23838750</c:v>
                </c:pt>
                <c:pt idx="8">
                  <c:v>23838750</c:v>
                </c:pt>
                <c:pt idx="9">
                  <c:v>23838750</c:v>
                </c:pt>
                <c:pt idx="10">
                  <c:v>23838750</c:v>
                </c:pt>
                <c:pt idx="11">
                  <c:v>23838750</c:v>
                </c:pt>
              </c:numCache>
            </c:numRef>
          </c:val>
          <c:extLst>
            <c:ext xmlns:c16="http://schemas.microsoft.com/office/drawing/2014/chart" uri="{C3380CC4-5D6E-409C-BE32-E72D297353CC}">
              <c16:uniqueId val="{00000002-83A5-445E-8055-88A2D4C51404}"/>
            </c:ext>
          </c:extLst>
        </c:ser>
        <c:ser>
          <c:idx val="3"/>
          <c:order val="3"/>
          <c:tx>
            <c:strRef>
              <c:f>'Expense Breakdown'!$E$30</c:f>
              <c:strCache>
                <c:ptCount val="1"/>
                <c:pt idx="0">
                  <c:v>Marketing</c:v>
                </c:pt>
              </c:strCache>
            </c:strRef>
          </c:tx>
          <c:spPr>
            <a:solidFill>
              <a:schemeClr val="accent4"/>
            </a:solidFill>
            <a:ln>
              <a:noFill/>
            </a:ln>
            <a:effectLst/>
          </c:spPr>
          <c:dLbls>
            <c:delete val="1"/>
          </c:dLbls>
          <c:cat>
            <c:multiLvlStrRef>
              <c:f>'Expense Breakdown'!$A$31:$A$46</c:f>
              <c:multiLvlStrCache>
                <c:ptCount val="12"/>
                <c:lvl>
                  <c:pt idx="0">
                    <c:v>Mar</c:v>
                  </c:pt>
                  <c:pt idx="1">
                    <c:v>Jun</c:v>
                  </c:pt>
                  <c:pt idx="2">
                    <c:v>Sep</c:v>
                  </c:pt>
                  <c:pt idx="3">
                    <c:v>Dec</c:v>
                  </c:pt>
                  <c:pt idx="4">
                    <c:v>Mar</c:v>
                  </c:pt>
                  <c:pt idx="5">
                    <c:v>Jun</c:v>
                  </c:pt>
                  <c:pt idx="6">
                    <c:v>Sep</c:v>
                  </c:pt>
                  <c:pt idx="7">
                    <c:v>Dec</c:v>
                  </c:pt>
                  <c:pt idx="8">
                    <c:v>Mar</c:v>
                  </c:pt>
                  <c:pt idx="9">
                    <c:v>Jun</c:v>
                  </c:pt>
                  <c:pt idx="10">
                    <c:v>Sep</c:v>
                  </c:pt>
                  <c:pt idx="11">
                    <c:v>Dec</c:v>
                  </c:pt>
                </c:lvl>
                <c:lvl>
                  <c:pt idx="0">
                    <c:v>2018</c:v>
                  </c:pt>
                  <c:pt idx="4">
                    <c:v>2019</c:v>
                  </c:pt>
                  <c:pt idx="8">
                    <c:v>2020</c:v>
                  </c:pt>
                </c:lvl>
              </c:multiLvlStrCache>
            </c:multiLvlStrRef>
          </c:cat>
          <c:val>
            <c:numRef>
              <c:f>'Expense Breakdown'!$E$31:$E$46</c:f>
              <c:numCache>
                <c:formatCode>_("$"* #,##0_);_("$"* \(#,##0\);_("$"* "-"??_);_(@_)</c:formatCode>
                <c:ptCount val="12"/>
                <c:pt idx="0">
                  <c:v>650</c:v>
                </c:pt>
                <c:pt idx="1">
                  <c:v>483300</c:v>
                </c:pt>
                <c:pt idx="2">
                  <c:v>483300</c:v>
                </c:pt>
                <c:pt idx="3">
                  <c:v>483300</c:v>
                </c:pt>
                <c:pt idx="4">
                  <c:v>474950</c:v>
                </c:pt>
                <c:pt idx="5">
                  <c:v>474300</c:v>
                </c:pt>
                <c:pt idx="6">
                  <c:v>474300</c:v>
                </c:pt>
                <c:pt idx="7">
                  <c:v>816600</c:v>
                </c:pt>
                <c:pt idx="8">
                  <c:v>816600</c:v>
                </c:pt>
                <c:pt idx="9">
                  <c:v>816600</c:v>
                </c:pt>
                <c:pt idx="10">
                  <c:v>816600</c:v>
                </c:pt>
                <c:pt idx="11">
                  <c:v>816600</c:v>
                </c:pt>
              </c:numCache>
            </c:numRef>
          </c:val>
          <c:extLst>
            <c:ext xmlns:c16="http://schemas.microsoft.com/office/drawing/2014/chart" uri="{C3380CC4-5D6E-409C-BE32-E72D297353CC}">
              <c16:uniqueId val="{00000003-83A5-445E-8055-88A2D4C51404}"/>
            </c:ext>
          </c:extLst>
        </c:ser>
        <c:ser>
          <c:idx val="4"/>
          <c:order val="4"/>
          <c:tx>
            <c:strRef>
              <c:f>'Expense Breakdown'!$F$30</c:f>
              <c:strCache>
                <c:ptCount val="1"/>
                <c:pt idx="0">
                  <c:v>Website</c:v>
                </c:pt>
              </c:strCache>
            </c:strRef>
          </c:tx>
          <c:spPr>
            <a:solidFill>
              <a:schemeClr val="accent5"/>
            </a:solidFill>
            <a:ln>
              <a:noFill/>
            </a:ln>
            <a:effectLst/>
          </c:spPr>
          <c:dLbls>
            <c:delete val="1"/>
          </c:dLbls>
          <c:cat>
            <c:multiLvlStrRef>
              <c:f>'Expense Breakdown'!$A$31:$A$46</c:f>
              <c:multiLvlStrCache>
                <c:ptCount val="12"/>
                <c:lvl>
                  <c:pt idx="0">
                    <c:v>Mar</c:v>
                  </c:pt>
                  <c:pt idx="1">
                    <c:v>Jun</c:v>
                  </c:pt>
                  <c:pt idx="2">
                    <c:v>Sep</c:v>
                  </c:pt>
                  <c:pt idx="3">
                    <c:v>Dec</c:v>
                  </c:pt>
                  <c:pt idx="4">
                    <c:v>Mar</c:v>
                  </c:pt>
                  <c:pt idx="5">
                    <c:v>Jun</c:v>
                  </c:pt>
                  <c:pt idx="6">
                    <c:v>Sep</c:v>
                  </c:pt>
                  <c:pt idx="7">
                    <c:v>Dec</c:v>
                  </c:pt>
                  <c:pt idx="8">
                    <c:v>Mar</c:v>
                  </c:pt>
                  <c:pt idx="9">
                    <c:v>Jun</c:v>
                  </c:pt>
                  <c:pt idx="10">
                    <c:v>Sep</c:v>
                  </c:pt>
                  <c:pt idx="11">
                    <c:v>Dec</c:v>
                  </c:pt>
                </c:lvl>
                <c:lvl>
                  <c:pt idx="0">
                    <c:v>2018</c:v>
                  </c:pt>
                  <c:pt idx="4">
                    <c:v>2019</c:v>
                  </c:pt>
                  <c:pt idx="8">
                    <c:v>2020</c:v>
                  </c:pt>
                </c:lvl>
              </c:multiLvlStrCache>
            </c:multiLvlStrRef>
          </c:cat>
          <c:val>
            <c:numRef>
              <c:f>'Expense Breakdown'!$F$31:$F$46</c:f>
              <c:numCache>
                <c:formatCode>_("$"* #,##0_);_("$"* \(#,##0\);_("$"* "-"??_);_(@_)</c:formatCode>
                <c:ptCount val="12"/>
                <c:pt idx="0">
                  <c:v>23100</c:v>
                </c:pt>
                <c:pt idx="1">
                  <c:v>15600</c:v>
                </c:pt>
                <c:pt idx="2">
                  <c:v>15600</c:v>
                </c:pt>
                <c:pt idx="3">
                  <c:v>15600</c:v>
                </c:pt>
                <c:pt idx="4">
                  <c:v>31200</c:v>
                </c:pt>
                <c:pt idx="5">
                  <c:v>31200</c:v>
                </c:pt>
                <c:pt idx="6">
                  <c:v>31200</c:v>
                </c:pt>
                <c:pt idx="7">
                  <c:v>31200</c:v>
                </c:pt>
                <c:pt idx="8">
                  <c:v>31200</c:v>
                </c:pt>
                <c:pt idx="9">
                  <c:v>31200</c:v>
                </c:pt>
                <c:pt idx="10">
                  <c:v>31200</c:v>
                </c:pt>
                <c:pt idx="11">
                  <c:v>31200</c:v>
                </c:pt>
              </c:numCache>
            </c:numRef>
          </c:val>
          <c:extLst>
            <c:ext xmlns:c16="http://schemas.microsoft.com/office/drawing/2014/chart" uri="{C3380CC4-5D6E-409C-BE32-E72D297353CC}">
              <c16:uniqueId val="{00000004-83A5-445E-8055-88A2D4C51404}"/>
            </c:ext>
          </c:extLst>
        </c:ser>
        <c:ser>
          <c:idx val="5"/>
          <c:order val="5"/>
          <c:tx>
            <c:strRef>
              <c:f>'Expense Breakdown'!$G$30</c:f>
              <c:strCache>
                <c:ptCount val="1"/>
                <c:pt idx="0">
                  <c:v>Employment</c:v>
                </c:pt>
              </c:strCache>
            </c:strRef>
          </c:tx>
          <c:spPr>
            <a:solidFill>
              <a:schemeClr val="accent6"/>
            </a:solidFill>
            <a:ln>
              <a:noFill/>
            </a:ln>
            <a:effectLst/>
          </c:spPr>
          <c:dLbls>
            <c:delete val="1"/>
          </c:dLbls>
          <c:cat>
            <c:multiLvlStrRef>
              <c:f>'Expense Breakdown'!$A$31:$A$46</c:f>
              <c:multiLvlStrCache>
                <c:ptCount val="12"/>
                <c:lvl>
                  <c:pt idx="0">
                    <c:v>Mar</c:v>
                  </c:pt>
                  <c:pt idx="1">
                    <c:v>Jun</c:v>
                  </c:pt>
                  <c:pt idx="2">
                    <c:v>Sep</c:v>
                  </c:pt>
                  <c:pt idx="3">
                    <c:v>Dec</c:v>
                  </c:pt>
                  <c:pt idx="4">
                    <c:v>Mar</c:v>
                  </c:pt>
                  <c:pt idx="5">
                    <c:v>Jun</c:v>
                  </c:pt>
                  <c:pt idx="6">
                    <c:v>Sep</c:v>
                  </c:pt>
                  <c:pt idx="7">
                    <c:v>Dec</c:v>
                  </c:pt>
                  <c:pt idx="8">
                    <c:v>Mar</c:v>
                  </c:pt>
                  <c:pt idx="9">
                    <c:v>Jun</c:v>
                  </c:pt>
                  <c:pt idx="10">
                    <c:v>Sep</c:v>
                  </c:pt>
                  <c:pt idx="11">
                    <c:v>Dec</c:v>
                  </c:pt>
                </c:lvl>
                <c:lvl>
                  <c:pt idx="0">
                    <c:v>2018</c:v>
                  </c:pt>
                  <c:pt idx="4">
                    <c:v>2019</c:v>
                  </c:pt>
                  <c:pt idx="8">
                    <c:v>2020</c:v>
                  </c:pt>
                </c:lvl>
              </c:multiLvlStrCache>
            </c:multiLvlStrRef>
          </c:cat>
          <c:val>
            <c:numRef>
              <c:f>'Expense Breakdown'!$G$31:$G$46</c:f>
              <c:numCache>
                <c:formatCode>_("$"* #,##0_);_("$"* \(#,##0\);_("$"* "-"??_);_(@_)</c:formatCode>
                <c:ptCount val="12"/>
                <c:pt idx="0">
                  <c:v>1399230</c:v>
                </c:pt>
                <c:pt idx="1">
                  <c:v>1971198</c:v>
                </c:pt>
                <c:pt idx="2">
                  <c:v>1971198</c:v>
                </c:pt>
                <c:pt idx="3">
                  <c:v>1971198</c:v>
                </c:pt>
                <c:pt idx="4">
                  <c:v>1145553</c:v>
                </c:pt>
                <c:pt idx="5">
                  <c:v>1145553</c:v>
                </c:pt>
                <c:pt idx="6">
                  <c:v>1145553</c:v>
                </c:pt>
                <c:pt idx="7">
                  <c:v>1145553</c:v>
                </c:pt>
                <c:pt idx="8">
                  <c:v>1274508</c:v>
                </c:pt>
                <c:pt idx="9">
                  <c:v>1274508</c:v>
                </c:pt>
                <c:pt idx="10">
                  <c:v>1274508</c:v>
                </c:pt>
                <c:pt idx="11">
                  <c:v>1274508</c:v>
                </c:pt>
              </c:numCache>
            </c:numRef>
          </c:val>
          <c:extLst>
            <c:ext xmlns:c16="http://schemas.microsoft.com/office/drawing/2014/chart" uri="{C3380CC4-5D6E-409C-BE32-E72D297353CC}">
              <c16:uniqueId val="{00000005-83A5-445E-8055-88A2D4C51404}"/>
            </c:ext>
          </c:extLst>
        </c:ser>
        <c:ser>
          <c:idx val="6"/>
          <c:order val="6"/>
          <c:tx>
            <c:strRef>
              <c:f>'Expense Breakdown'!$H$30</c:f>
              <c:strCache>
                <c:ptCount val="1"/>
                <c:pt idx="0">
                  <c:v>Occupancy</c:v>
                </c:pt>
              </c:strCache>
            </c:strRef>
          </c:tx>
          <c:spPr>
            <a:solidFill>
              <a:schemeClr val="accent1">
                <a:lumMod val="60000"/>
              </a:schemeClr>
            </a:solidFill>
            <a:ln>
              <a:noFill/>
            </a:ln>
            <a:effectLst/>
          </c:spPr>
          <c:dLbls>
            <c:delete val="1"/>
          </c:dLbls>
          <c:cat>
            <c:multiLvlStrRef>
              <c:f>'Expense Breakdown'!$A$31:$A$46</c:f>
              <c:multiLvlStrCache>
                <c:ptCount val="12"/>
                <c:lvl>
                  <c:pt idx="0">
                    <c:v>Mar</c:v>
                  </c:pt>
                  <c:pt idx="1">
                    <c:v>Jun</c:v>
                  </c:pt>
                  <c:pt idx="2">
                    <c:v>Sep</c:v>
                  </c:pt>
                  <c:pt idx="3">
                    <c:v>Dec</c:v>
                  </c:pt>
                  <c:pt idx="4">
                    <c:v>Mar</c:v>
                  </c:pt>
                  <c:pt idx="5">
                    <c:v>Jun</c:v>
                  </c:pt>
                  <c:pt idx="6">
                    <c:v>Sep</c:v>
                  </c:pt>
                  <c:pt idx="7">
                    <c:v>Dec</c:v>
                  </c:pt>
                  <c:pt idx="8">
                    <c:v>Mar</c:v>
                  </c:pt>
                  <c:pt idx="9">
                    <c:v>Jun</c:v>
                  </c:pt>
                  <c:pt idx="10">
                    <c:v>Sep</c:v>
                  </c:pt>
                  <c:pt idx="11">
                    <c:v>Dec</c:v>
                  </c:pt>
                </c:lvl>
                <c:lvl>
                  <c:pt idx="0">
                    <c:v>2018</c:v>
                  </c:pt>
                  <c:pt idx="4">
                    <c:v>2019</c:v>
                  </c:pt>
                  <c:pt idx="8">
                    <c:v>2020</c:v>
                  </c:pt>
                </c:lvl>
              </c:multiLvlStrCache>
            </c:multiLvlStrRef>
          </c:cat>
          <c:val>
            <c:numRef>
              <c:f>'Expense Breakdown'!$H$31:$H$46</c:f>
              <c:numCache>
                <c:formatCode>_("$"* #,##0_);_("$"* \(#,##0\);_("$"* "-"??_);_(@_)</c:formatCode>
                <c:ptCount val="12"/>
                <c:pt idx="0">
                  <c:v>45472</c:v>
                </c:pt>
                <c:pt idx="1">
                  <c:v>121917</c:v>
                </c:pt>
                <c:pt idx="2">
                  <c:v>121917</c:v>
                </c:pt>
                <c:pt idx="3">
                  <c:v>121917</c:v>
                </c:pt>
                <c:pt idx="4">
                  <c:v>121917</c:v>
                </c:pt>
                <c:pt idx="5">
                  <c:v>121917</c:v>
                </c:pt>
                <c:pt idx="6">
                  <c:v>121917</c:v>
                </c:pt>
                <c:pt idx="7">
                  <c:v>121917</c:v>
                </c:pt>
                <c:pt idx="8">
                  <c:v>225252</c:v>
                </c:pt>
                <c:pt idx="9">
                  <c:v>225252</c:v>
                </c:pt>
                <c:pt idx="10">
                  <c:v>225252</c:v>
                </c:pt>
                <c:pt idx="11">
                  <c:v>225252</c:v>
                </c:pt>
              </c:numCache>
            </c:numRef>
          </c:val>
          <c:extLst>
            <c:ext xmlns:c16="http://schemas.microsoft.com/office/drawing/2014/chart" uri="{C3380CC4-5D6E-409C-BE32-E72D297353CC}">
              <c16:uniqueId val="{00000006-83A5-445E-8055-88A2D4C51404}"/>
            </c:ext>
          </c:extLst>
        </c:ser>
        <c:dLbls>
          <c:showLegendKey val="0"/>
          <c:showVal val="1"/>
          <c:showCatName val="0"/>
          <c:showSerName val="0"/>
          <c:showPercent val="0"/>
          <c:showBubbleSize val="0"/>
        </c:dLbls>
        <c:axId val="1165713152"/>
        <c:axId val="1165718976"/>
      </c:areaChart>
      <c:catAx>
        <c:axId val="116571315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5718976"/>
        <c:crosses val="autoZero"/>
        <c:auto val="1"/>
        <c:lblAlgn val="ctr"/>
        <c:lblOffset val="100"/>
        <c:noMultiLvlLbl val="0"/>
      </c:catAx>
      <c:valAx>
        <c:axId val="1165718976"/>
        <c:scaling>
          <c:orientation val="minMax"/>
          <c:max val="45000000"/>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5713152"/>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Product Margins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04-3B85-4D74-AA1E-B836C9FB50A1}"/>
              </c:ext>
            </c:extLst>
          </c:dPt>
          <c:dPt>
            <c:idx val="1"/>
            <c:bubble3D val="0"/>
            <c:spPr>
              <a:solidFill>
                <a:schemeClr val="accent3"/>
              </a:solidFill>
              <a:ln w="19050">
                <a:solidFill>
                  <a:schemeClr val="lt1"/>
                </a:solidFill>
              </a:ln>
              <a:effectLst/>
            </c:spPr>
            <c:extLst>
              <c:ext xmlns:c16="http://schemas.microsoft.com/office/drawing/2014/chart" uri="{C3380CC4-5D6E-409C-BE32-E72D297353CC}">
                <c16:uniqueId val="{00000003-3B85-4D74-AA1E-B836C9FB50A1}"/>
              </c:ext>
            </c:extLst>
          </c:dPt>
          <c:dLbls>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'Break-Even Analysis'!$A$7:$A$8</c:f>
              <c:strCache>
                <c:ptCount val="2"/>
                <c:pt idx="0">
                  <c:v>Unit Cost</c:v>
                </c:pt>
                <c:pt idx="1">
                  <c:v>Unit Revenue</c:v>
                </c:pt>
              </c:strCache>
            </c:strRef>
          </c:cat>
          <c:val>
            <c:numRef>
              <c:f>'Break-Even Analysis'!$B$7:$B$8</c:f>
              <c:numCache>
                <c:formatCode>_("$"* #,##0.00_);_("$"* \(#,##0.00\);_("$"* "-"??_);_(@_)</c:formatCode>
                <c:ptCount val="2"/>
                <c:pt idx="0">
                  <c:v>276.87557566228401</c:v>
                </c:pt>
                <c:pt idx="1">
                  <c:v>122.12442433771599</c:v>
                </c:pt>
              </c:numCache>
            </c:numRef>
          </c:val>
          <c:extLst>
            <c:ext xmlns:c16="http://schemas.microsoft.com/office/drawing/2014/chart" uri="{C3380CC4-5D6E-409C-BE32-E72D297353CC}">
              <c16:uniqueId val="{00000000-3B85-4D74-AA1E-B836C9FB50A1}"/>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Fixed Costs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3-E02C-4A68-B701-83F4F7379B8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836-4624-80D6-F83FD797FEB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4-E02C-4A68-B701-83F4F7379B8C}"/>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E836-4624-80D6-F83FD797FEB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2-E02C-4A68-B701-83F4F7379B8C}"/>
              </c:ext>
            </c:extLst>
          </c:dPt>
          <c:dLbls>
            <c:dLbl>
              <c:idx val="0"/>
              <c:layout>
                <c:manualLayout>
                  <c:x val="0.14444444444444443"/>
                  <c:y val="4.6296296296296294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E02C-4A68-B701-83F4F7379B8C}"/>
                </c:ext>
              </c:extLst>
            </c:dLbl>
            <c:dLbl>
              <c:idx val="2"/>
              <c:layout>
                <c:manualLayout>
                  <c:x val="3.3333333333333333E-2"/>
                  <c:y val="-1.3888888888888973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E02C-4A68-B701-83F4F7379B8C}"/>
                </c:ext>
              </c:extLst>
            </c:dLbl>
            <c:dLbl>
              <c:idx val="4"/>
              <c:layout>
                <c:manualLayout>
                  <c:x val="-0.14722222222222228"/>
                  <c:y val="2.7777777777777776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E02C-4A68-B701-83F4F7379B8C}"/>
                </c:ext>
              </c:extLst>
            </c:dLbl>
            <c:numFmt formatCode="0.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'Break-Even Analysis'!$A$12:$A$16</c:f>
              <c:strCache>
                <c:ptCount val="5"/>
                <c:pt idx="0">
                  <c:v>Legal Fees</c:v>
                </c:pt>
                <c:pt idx="1">
                  <c:v>Training &amp; Salary</c:v>
                </c:pt>
                <c:pt idx="2">
                  <c:v>Rent &amp; Utilities</c:v>
                </c:pt>
                <c:pt idx="3">
                  <c:v>Product Development</c:v>
                </c:pt>
                <c:pt idx="4">
                  <c:v>Website Expense</c:v>
                </c:pt>
              </c:strCache>
            </c:strRef>
          </c:cat>
          <c:val>
            <c:numRef>
              <c:f>'Break-Even Analysis'!$B$12:$B$16</c:f>
              <c:numCache>
                <c:formatCode>_("$"* #,##0_);_("$"* \(#,##0\);_("$"* "-"??_);_(@_)</c:formatCode>
                <c:ptCount val="5"/>
                <c:pt idx="0">
                  <c:v>432000</c:v>
                </c:pt>
                <c:pt idx="1">
                  <c:v>12662025</c:v>
                </c:pt>
                <c:pt idx="2">
                  <c:v>205600</c:v>
                </c:pt>
                <c:pt idx="3">
                  <c:v>21072400</c:v>
                </c:pt>
                <c:pt idx="4">
                  <c:v>319500</c:v>
                </c:pt>
              </c:numCache>
            </c:numRef>
          </c:val>
          <c:extLst>
            <c:ext xmlns:c16="http://schemas.microsoft.com/office/drawing/2014/chart" uri="{C3380CC4-5D6E-409C-BE32-E72D297353CC}">
              <c16:uniqueId val="{00000000-E02C-4A68-B701-83F4F7379B8C}"/>
            </c:ext>
          </c:extLst>
        </c:ser>
        <c:dLbls>
          <c:showLegendKey val="0"/>
          <c:showVal val="0"/>
          <c:showCatName val="0"/>
          <c:showSerName val="0"/>
          <c:showPercent val="0"/>
          <c:showBubbleSize val="0"/>
          <c:showLeaderLines val="0"/>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Variable</a:t>
            </a:r>
            <a:r>
              <a:rPr lang="en-US" baseline="0"/>
              <a:t> Costs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2B1-421A-BCC2-56DFFA84D88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2B1-421A-BCC2-56DFFA84D88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2-9382-4384-B9B7-60314FDBD14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5-9382-4384-B9B7-60314FDBD144}"/>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4-9382-4384-B9B7-60314FDBD144}"/>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3-9382-4384-B9B7-60314FDBD144}"/>
              </c:ext>
            </c:extLst>
          </c:dPt>
          <c:dLbls>
            <c:dLbl>
              <c:idx val="2"/>
              <c:layout>
                <c:manualLayout>
                  <c:x val="-0.17222222222222225"/>
                  <c:y val="0.10648148148148148"/>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9382-4384-B9B7-60314FDBD144}"/>
                </c:ext>
              </c:extLst>
            </c:dLbl>
            <c:dLbl>
              <c:idx val="3"/>
              <c:layout>
                <c:manualLayout>
                  <c:x val="0.22222222222222221"/>
                  <c:y val="0.125"/>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9382-4384-B9B7-60314FDBD144}"/>
                </c:ext>
              </c:extLst>
            </c:dLbl>
            <c:dLbl>
              <c:idx val="4"/>
              <c:layout>
                <c:manualLayout>
                  <c:x val="-0.19722222222222219"/>
                  <c:y val="-2.777777777777779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9382-4384-B9B7-60314FDBD144}"/>
                </c:ext>
              </c:extLst>
            </c:dLbl>
            <c:dLbl>
              <c:idx val="5"/>
              <c:layout>
                <c:manualLayout>
                  <c:x val="0.22777777777777777"/>
                  <c:y val="-1.38888888888889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9382-4384-B9B7-60314FDBD144}"/>
                </c:ext>
              </c:extLst>
            </c:dLbl>
            <c:numFmt formatCode="0.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'Break-Even Analysis'!$A$20:$A$25</c:f>
              <c:strCache>
                <c:ptCount val="6"/>
                <c:pt idx="0">
                  <c:v>Wholesale Costs</c:v>
                </c:pt>
                <c:pt idx="1">
                  <c:v>Admin Costs</c:v>
                </c:pt>
                <c:pt idx="2">
                  <c:v>Marketing</c:v>
                </c:pt>
                <c:pt idx="3">
                  <c:v>Benefits</c:v>
                </c:pt>
                <c:pt idx="4">
                  <c:v>Recruitment</c:v>
                </c:pt>
                <c:pt idx="5">
                  <c:v>Inventory Costs</c:v>
                </c:pt>
              </c:strCache>
            </c:strRef>
          </c:cat>
          <c:val>
            <c:numRef>
              <c:f>'Break-Even Analysis'!$B$20:$B$25</c:f>
              <c:numCache>
                <c:formatCode>_("$"* #,##0_);_("$"* \(#,##0\);_("$"* "-"??_);_(@_)</c:formatCode>
                <c:ptCount val="6"/>
                <c:pt idx="0">
                  <c:v>220608450</c:v>
                </c:pt>
                <c:pt idx="1">
                  <c:v>173603969.61750001</c:v>
                </c:pt>
                <c:pt idx="2">
                  <c:v>6957100</c:v>
                </c:pt>
                <c:pt idx="3">
                  <c:v>852915</c:v>
                </c:pt>
                <c:pt idx="4">
                  <c:v>3478128</c:v>
                </c:pt>
                <c:pt idx="5">
                  <c:v>1594299</c:v>
                </c:pt>
              </c:numCache>
            </c:numRef>
          </c:val>
          <c:extLst>
            <c:ext xmlns:c16="http://schemas.microsoft.com/office/drawing/2014/chart" uri="{C3380CC4-5D6E-409C-BE32-E72D297353CC}">
              <c16:uniqueId val="{00000000-9382-4384-B9B7-60314FDBD144}"/>
            </c:ext>
          </c:extLst>
        </c:ser>
        <c:dLbls>
          <c:showLegendKey val="0"/>
          <c:showVal val="0"/>
          <c:showCatName val="0"/>
          <c:showSerName val="0"/>
          <c:showPercent val="0"/>
          <c:showBubbleSize val="0"/>
          <c:showLeaderLines val="0"/>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3</xdr:row>
      <xdr:rowOff>47625</xdr:rowOff>
    </xdr:from>
    <xdr:to>
      <xdr:col>6</xdr:col>
      <xdr:colOff>0</xdr:colOff>
      <xdr:row>3</xdr:row>
      <xdr:rowOff>1152525</xdr:rowOff>
    </xdr:to>
    <mc:AlternateContent xmlns:mc="http://schemas.openxmlformats.org/markup-compatibility/2006" xmlns:tsle="http://schemas.microsoft.com/office/drawing/2012/timeslicer">
      <mc:Choice Requires="tsle">
        <xdr:graphicFrame macro="">
          <xdr:nvGraphicFramePr>
            <xdr:cNvPr id="5" name="Quarter (End)">
              <a:extLst>
                <a:ext uri="{FF2B5EF4-FFF2-40B4-BE49-F238E27FC236}">
                  <a16:creationId xmlns:a16="http://schemas.microsoft.com/office/drawing/2014/main" id="{1CA021F2-672E-4F4C-92FE-C91B2979030A}"/>
                </a:ext>
              </a:extLst>
            </xdr:cNvPr>
            <xdr:cNvGraphicFramePr/>
          </xdr:nvGraphicFramePr>
          <xdr:xfrm>
            <a:off x="0" y="0"/>
            <a:ext cx="0" cy="0"/>
          </xdr:xfrm>
          <a:graphic>
            <a:graphicData uri="http://schemas.microsoft.com/office/drawing/2012/timeslicer">
              <tsle:timeslicer name="Quarter (End)"/>
            </a:graphicData>
          </a:graphic>
        </xdr:graphicFrame>
      </mc:Choice>
      <mc:Fallback xmlns="">
        <xdr:sp macro="" textlink="">
          <xdr:nvSpPr>
            <xdr:cNvPr id="0" name=""/>
            <xdr:cNvSpPr>
              <a:spLocks noTextEdit="1"/>
            </xdr:cNvSpPr>
          </xdr:nvSpPr>
          <xdr:spPr>
            <a:xfrm>
              <a:off x="0" y="1066799"/>
              <a:ext cx="5791200" cy="876301"/>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3</xdr:col>
      <xdr:colOff>1181099</xdr:colOff>
      <xdr:row>4</xdr:row>
      <xdr:rowOff>190499</xdr:rowOff>
    </xdr:from>
    <xdr:to>
      <xdr:col>14</xdr:col>
      <xdr:colOff>676274</xdr:colOff>
      <xdr:row>29</xdr:row>
      <xdr:rowOff>9524</xdr:rowOff>
    </xdr:to>
    <xdr:graphicFrame macro="">
      <xdr:nvGraphicFramePr>
        <xdr:cNvPr id="6" name="Chart 5">
          <a:extLst>
            <a:ext uri="{FF2B5EF4-FFF2-40B4-BE49-F238E27FC236}">
              <a16:creationId xmlns:a16="http://schemas.microsoft.com/office/drawing/2014/main" id="{C4B9F7CA-A171-4A61-AF80-9BA7A90D883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xdr:colOff>
      <xdr:row>3</xdr:row>
      <xdr:rowOff>276225</xdr:rowOff>
    </xdr:from>
    <xdr:to>
      <xdr:col>5</xdr:col>
      <xdr:colOff>495301</xdr:colOff>
      <xdr:row>4</xdr:row>
      <xdr:rowOff>9525</xdr:rowOff>
    </xdr:to>
    <mc:AlternateContent xmlns:mc="http://schemas.openxmlformats.org/markup-compatibility/2006" xmlns:tsle="http://schemas.microsoft.com/office/drawing/2012/timeslicer">
      <mc:Choice Requires="tsle">
        <xdr:graphicFrame macro="">
          <xdr:nvGraphicFramePr>
            <xdr:cNvPr id="2" name="Quarter (End) 1">
              <a:extLst>
                <a:ext uri="{FF2B5EF4-FFF2-40B4-BE49-F238E27FC236}">
                  <a16:creationId xmlns:a16="http://schemas.microsoft.com/office/drawing/2014/main" id="{5E2E8300-7F3C-4B66-888F-DE435A5F25D6}"/>
                </a:ext>
              </a:extLst>
            </xdr:cNvPr>
            <xdr:cNvGraphicFramePr/>
          </xdr:nvGraphicFramePr>
          <xdr:xfrm>
            <a:off x="0" y="0"/>
            <a:ext cx="0" cy="0"/>
          </xdr:xfrm>
          <a:graphic>
            <a:graphicData uri="http://schemas.microsoft.com/office/drawing/2012/timeslicer">
              <tsle:timeslicer name="Quarter (End) 1"/>
            </a:graphicData>
          </a:graphic>
        </xdr:graphicFrame>
      </mc:Choice>
      <mc:Fallback xmlns="">
        <xdr:sp macro="" textlink="">
          <xdr:nvSpPr>
            <xdr:cNvPr id="0" name=""/>
            <xdr:cNvSpPr>
              <a:spLocks noTextEdit="1"/>
            </xdr:cNvSpPr>
          </xdr:nvSpPr>
          <xdr:spPr>
            <a:xfrm>
              <a:off x="2" y="1047750"/>
              <a:ext cx="5838824" cy="89535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0</xdr:col>
      <xdr:colOff>0</xdr:colOff>
      <xdr:row>4</xdr:row>
      <xdr:rowOff>19049</xdr:rowOff>
    </xdr:from>
    <xdr:to>
      <xdr:col>8</xdr:col>
      <xdr:colOff>0</xdr:colOff>
      <xdr:row>28</xdr:row>
      <xdr:rowOff>9524</xdr:rowOff>
    </xdr:to>
    <xdr:graphicFrame macro="">
      <xdr:nvGraphicFramePr>
        <xdr:cNvPr id="3" name="Chart 2">
          <a:extLst>
            <a:ext uri="{FF2B5EF4-FFF2-40B4-BE49-F238E27FC236}">
              <a16:creationId xmlns:a16="http://schemas.microsoft.com/office/drawing/2014/main" id="{1E8CFA4D-9381-4EF0-92BD-BE096D59EBD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4762</xdr:colOff>
      <xdr:row>4</xdr:row>
      <xdr:rowOff>0</xdr:rowOff>
    </xdr:from>
    <xdr:to>
      <xdr:col>9</xdr:col>
      <xdr:colOff>461962</xdr:colOff>
      <xdr:row>17</xdr:row>
      <xdr:rowOff>19050</xdr:rowOff>
    </xdr:to>
    <xdr:graphicFrame macro="">
      <xdr:nvGraphicFramePr>
        <xdr:cNvPr id="2" name="Chart 1">
          <a:extLst>
            <a:ext uri="{FF2B5EF4-FFF2-40B4-BE49-F238E27FC236}">
              <a16:creationId xmlns:a16="http://schemas.microsoft.com/office/drawing/2014/main" id="{9F9E8CFE-773A-487F-8544-7DA5714C46D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4762</xdr:colOff>
      <xdr:row>17</xdr:row>
      <xdr:rowOff>28575</xdr:rowOff>
    </xdr:from>
    <xdr:to>
      <xdr:col>9</xdr:col>
      <xdr:colOff>461962</xdr:colOff>
      <xdr:row>30</xdr:row>
      <xdr:rowOff>66675</xdr:rowOff>
    </xdr:to>
    <xdr:graphicFrame macro="">
      <xdr:nvGraphicFramePr>
        <xdr:cNvPr id="3" name="Chart 2">
          <a:extLst>
            <a:ext uri="{FF2B5EF4-FFF2-40B4-BE49-F238E27FC236}">
              <a16:creationId xmlns:a16="http://schemas.microsoft.com/office/drawing/2014/main" id="{4E16397C-D60B-4A47-854E-DA5AD32B8B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457199</xdr:colOff>
      <xdr:row>17</xdr:row>
      <xdr:rowOff>28575</xdr:rowOff>
    </xdr:from>
    <xdr:to>
      <xdr:col>14</xdr:col>
      <xdr:colOff>533400</xdr:colOff>
      <xdr:row>30</xdr:row>
      <xdr:rowOff>66675</xdr:rowOff>
    </xdr:to>
    <xdr:graphicFrame macro="">
      <xdr:nvGraphicFramePr>
        <xdr:cNvPr id="4" name="Chart 3">
          <a:extLst>
            <a:ext uri="{FF2B5EF4-FFF2-40B4-BE49-F238E27FC236}">
              <a16:creationId xmlns:a16="http://schemas.microsoft.com/office/drawing/2014/main" id="{9667F330-6603-4B24-8C5C-6B1DB079A4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ke OConnor" refreshedDate="42964.909858796294" createdVersion="7" refreshedVersion="7" minRefreshableVersion="3" recordCount="12" xr:uid="{2ABAE342-9889-4DBB-A22A-DD33CD81852E}">
  <cacheSource type="worksheet">
    <worksheetSource name="AllYears"/>
  </cacheSource>
  <cacheFields count="39">
    <cacheField name="Quarter (End)" numFmtId="14">
      <sharedItems containsSemiMixedTypes="0" containsNonDate="0" containsDate="1" containsString="0" minDate="2018-03-31T00:00:00" maxDate="2021-01-01T00:00:00" count="12">
        <d v="2018-03-31T00:00:00"/>
        <d v="2018-06-30T00:00:00"/>
        <d v="2018-09-30T00:00:00"/>
        <d v="2018-12-31T00:00:00"/>
        <d v="2019-03-31T00:00:00"/>
        <d v="2019-06-30T00:00:00"/>
        <d v="2019-09-30T00:00:00"/>
        <d v="2019-12-31T00:00:00"/>
        <d v="2020-03-31T00:00:00"/>
        <d v="2020-06-30T00:00:00"/>
        <d v="2020-09-30T00:00:00"/>
        <d v="2020-12-31T00:00:00"/>
      </sharedItems>
      <fieldGroup par="38" base="0">
        <rangePr groupBy="months" startDate="2018-03-31T00:00:00" endDate="2021-01-01T00:00:00"/>
        <groupItems count="14">
          <s v="&lt;3/31/2018"/>
          <s v="Jan"/>
          <s v="Feb"/>
          <s v="Mar"/>
          <s v="Apr"/>
          <s v="May"/>
          <s v="Jun"/>
          <s v="Jul"/>
          <s v="Aug"/>
          <s v="Sep"/>
          <s v="Oct"/>
          <s v="Nov"/>
          <s v="Dec"/>
          <s v="&gt;1/1/2021"/>
        </groupItems>
      </fieldGroup>
    </cacheField>
    <cacheField name="Sale of goods/services" numFmtId="165">
      <sharedItems containsSemiMixedTypes="0" containsString="0" containsNumber="1" containsInteger="1" minValue="0" maxValue="63411075"/>
    </cacheField>
    <cacheField name="Sum Sales" numFmtId="165">
      <sharedItems containsSemiMixedTypes="0" containsString="0" containsNumber="1" containsInteger="1" minValue="0" maxValue="63411075"/>
    </cacheField>
    <cacheField name="Legal Fees" numFmtId="165">
      <sharedItems containsSemiMixedTypes="0" containsString="0" containsNumber="1" containsInteger="1" minValue="36000" maxValue="36000"/>
    </cacheField>
    <cacheField name="General Selling/Admin Cost" numFmtId="165">
      <sharedItems containsSemiMixedTypes="0" containsString="0" containsNumber="1" minValue="6406873.6724999994" maxValue="18072156.375"/>
    </cacheField>
    <cacheField name="Sum General Expense" numFmtId="165">
      <sharedItems containsSemiMixedTypes="0" containsString="0" containsNumber="1" minValue="6442873.6724999994" maxValue="18108156.375"/>
    </cacheField>
    <cacheField name="Radio Ads" numFmtId="165">
      <sharedItems containsSemiMixedTypes="0" containsString="0" containsNumber="1" containsInteger="1" minValue="650" maxValue="24000"/>
    </cacheField>
    <cacheField name="Newspaper" numFmtId="165">
      <sharedItems containsSemiMixedTypes="0" containsString="0" containsNumber="1" containsInteger="1" minValue="0" maxValue="417600"/>
    </cacheField>
    <cacheField name="Social Media" numFmtId="165">
      <sharedItems containsSemiMixedTypes="0" containsString="0" containsNumber="1" containsInteger="1" minValue="0" maxValue="27000"/>
    </cacheField>
    <cacheField name="Direct Mail" numFmtId="165">
      <sharedItems containsSemiMixedTypes="0" containsString="0" containsNumber="1" containsInteger="1" minValue="0" maxValue="198000"/>
    </cacheField>
    <cacheField name="Magazine" numFmtId="165">
      <sharedItems containsSemiMixedTypes="0" containsString="0" containsNumber="1" containsInteger="1" minValue="0" maxValue="150000"/>
    </cacheField>
    <cacheField name="Sum Marketing Expense" numFmtId="165">
      <sharedItems containsSemiMixedTypes="0" containsString="0" containsNumber="1" containsInteger="1" minValue="650" maxValue="816600"/>
    </cacheField>
    <cacheField name="HEAR App Development" numFmtId="165">
      <sharedItems containsSemiMixedTypes="0" containsString="0" containsNumber="1" containsInteger="1" minValue="0" maxValue="8400"/>
    </cacheField>
    <cacheField name="Cost of upgrading app" numFmtId="165">
      <sharedItems containsSemiMixedTypes="0" containsString="0" containsNumber="1" containsInteger="1" minValue="0" maxValue="6000"/>
    </cacheField>
    <cacheField name="Product Design &amp; Development" numFmtId="165">
      <sharedItems containsSemiMixedTypes="0" containsString="0" containsNumber="1" containsInteger="1" minValue="0" maxValue="16800000"/>
    </cacheField>
    <cacheField name="Market Testing" numFmtId="165">
      <sharedItems containsSemiMixedTypes="0" containsString="0" containsNumber="1" containsInteger="1" minValue="0" maxValue="4200000"/>
    </cacheField>
    <cacheField name="Sum Development Expense" numFmtId="165">
      <sharedItems containsSemiMixedTypes="0" containsString="0" containsNumber="1" containsInteger="1" minValue="4000" maxValue="21008400"/>
    </cacheField>
    <cacheField name="Development / coding mobile and e-commerce" numFmtId="165">
      <sharedItems containsSemiMixedTypes="0" containsString="0" containsNumber="1" containsInteger="1" minValue="0" maxValue="7500"/>
    </cacheField>
    <cacheField name="Hosting expenses" numFmtId="165">
      <sharedItems containsSemiMixedTypes="0" containsString="0" containsNumber="1" containsInteger="1" minValue="1500" maxValue="3000"/>
    </cacheField>
    <cacheField name="Maintenance expenses" numFmtId="165">
      <sharedItems containsSemiMixedTypes="0" containsString="0" containsNumber="1" containsInteger="1" minValue="1500" maxValue="3000"/>
    </cacheField>
    <cacheField name="Search Engine Optimization" numFmtId="165">
      <sharedItems containsSemiMixedTypes="0" containsString="0" containsNumber="1" containsInteger="1" minValue="3000" maxValue="8100"/>
    </cacheField>
    <cacheField name="Content Management Systems" numFmtId="165">
      <sharedItems containsSemiMixedTypes="0" containsString="0" containsNumber="1" containsInteger="1" minValue="8100" maxValue="15600"/>
    </cacheField>
    <cacheField name="Sum Website Expense" numFmtId="165">
      <sharedItems containsSemiMixedTypes="0" containsString="0" containsNumber="1" containsInteger="1" minValue="15600" maxValue="31200"/>
    </cacheField>
    <cacheField name="Training Costs - existing employees" numFmtId="165">
      <sharedItems containsSemiMixedTypes="0" containsString="0" containsNumber="1" containsInteger="1" minValue="825828" maxValue="1651473"/>
    </cacheField>
    <cacheField name="Other - New Employee Benefits" numFmtId="165">
      <sharedItems containsSemiMixedTypes="0" containsString="0" containsNumber="1" containsInteger="1" minValue="42954" maxValue="89736"/>
    </cacheField>
    <cacheField name="Recruitment costs - new salaries" numFmtId="165">
      <sharedItems containsSemiMixedTypes="0" containsString="0" containsNumber="1" containsInteger="1" minValue="255294" maxValue="358944"/>
    </cacheField>
    <cacheField name="Sum Employee Expense" numFmtId="165">
      <sharedItems containsSemiMixedTypes="0" containsString="0" containsNumber="1" containsInteger="1" minValue="1145553" maxValue="1971198"/>
    </cacheField>
    <cacheField name="Inventory Holding Cost - warehouse" numFmtId="165">
      <sharedItems containsSemiMixedTypes="0" containsString="0" containsNumber="1" containsInteger="1" minValue="9666" maxValue="18123"/>
    </cacheField>
    <cacheField name="Inventory Holding Cost - store" numFmtId="165">
      <sharedItems containsSemiMixedTypes="0" containsString="0" containsNumber="1" containsInteger="1" minValue="30666" maxValue="183999"/>
    </cacheField>
    <cacheField name="Space for Customer Support Team/Rent" numFmtId="165">
      <sharedItems containsSemiMixedTypes="0" containsString="0" containsNumber="1" containsInteger="1" minValue="4600" maxValue="20700"/>
    </cacheField>
    <cacheField name="Utilities for Customer Support Space" numFmtId="165">
      <sharedItems containsSemiMixedTypes="0" containsString="0" containsNumber="1" containsInteger="1" minValue="540" maxValue="2430"/>
    </cacheField>
    <cacheField name="Sum Occupancy Expense" numFmtId="165">
      <sharedItems containsSemiMixedTypes="0" containsString="0" containsNumber="1" containsInteger="1" minValue="45472" maxValue="225252"/>
    </cacheField>
    <cacheField name="Wholesale expense to hearing aid company" numFmtId="165">
      <sharedItems containsSemiMixedTypes="0" containsString="0" containsNumber="1" containsInteger="1" minValue="0" maxValue="23838750"/>
    </cacheField>
    <cacheField name="Sum Misc Expense" numFmtId="165">
      <sharedItems containsSemiMixedTypes="0" containsString="0" containsNumber="1" containsInteger="1" minValue="0" maxValue="23838750"/>
    </cacheField>
    <cacheField name="Total Expenses" numFmtId="165">
      <sharedItems containsSemiMixedTypes="0" containsString="0" containsNumber="1" minValue="28919725.672499999" maxValue="44300466.375"/>
    </cacheField>
    <cacheField name="Quarter Net Profit" numFmtId="165">
      <sharedItems containsSemiMixedTypes="0" containsString="0" containsNumber="1" minValue="-28919725.672499999" maxValue="19342898.625"/>
    </cacheField>
    <cacheField name="To-Date Net Profit" numFmtId="165">
      <sharedItems containsSemiMixedTypes="0" containsString="0" containsNumber="1" minValue="-28919725.672499999" maxValue="144870090.38249999"/>
    </cacheField>
    <cacheField name="Quarters" numFmtId="0" databaseField="0">
      <fieldGroup base="0">
        <rangePr groupBy="quarters" startDate="2018-03-31T00:00:00" endDate="2021-01-01T00:00:00"/>
        <groupItems count="6">
          <s v="&lt;3/31/2018"/>
          <s v="Qtr1"/>
          <s v="Qtr2"/>
          <s v="Qtr3"/>
          <s v="Qtr4"/>
          <s v="&gt;1/1/2021"/>
        </groupItems>
      </fieldGroup>
    </cacheField>
    <cacheField name="Years" numFmtId="0" databaseField="0">
      <fieldGroup base="0">
        <rangePr groupBy="years" startDate="2018-03-31T00:00:00" endDate="2021-01-01T00:00:00"/>
        <groupItems count="6">
          <s v="&lt;3/31/2018"/>
          <s v="2018"/>
          <s v="2019"/>
          <s v="2020"/>
          <s v="2021"/>
          <s v="&gt;1/1/2021"/>
        </groupItems>
      </fieldGroup>
    </cacheField>
  </cacheFields>
  <extLst>
    <ext xmlns:x14="http://schemas.microsoft.com/office/spreadsheetml/2009/9/main" uri="{725AE2AE-9491-48be-B2B4-4EB974FC3084}">
      <x14:pivotCacheDefinition pivotCacheId="92532623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
  <r>
    <x v="0"/>
    <n v="0"/>
    <n v="0"/>
    <n v="36000"/>
    <n v="6406873.6724999994"/>
    <n v="6442873.6724999994"/>
    <n v="650"/>
    <n v="0"/>
    <n v="0"/>
    <n v="0"/>
    <n v="0"/>
    <n v="650"/>
    <n v="8400"/>
    <n v="0"/>
    <n v="16800000"/>
    <n v="4200000"/>
    <n v="21008400"/>
    <n v="7500"/>
    <n v="3000"/>
    <n v="1500"/>
    <n v="3000"/>
    <n v="8100"/>
    <n v="23100"/>
    <n v="1100982"/>
    <n v="42954"/>
    <n v="255294"/>
    <n v="1399230"/>
    <n v="9666"/>
    <n v="30666"/>
    <n v="4600"/>
    <n v="540"/>
    <n v="45472"/>
    <n v="0"/>
    <n v="0"/>
    <n v="28919725.672499999"/>
    <n v="-28919725.672499999"/>
    <n v="-28919725.672499999"/>
  </r>
  <r>
    <x v="1"/>
    <n v="44960517"/>
    <n v="44960517"/>
    <n v="36000"/>
    <n v="12813747.344999999"/>
    <n v="12849747.344999999"/>
    <n v="12000"/>
    <n v="208800"/>
    <n v="13500"/>
    <n v="99000"/>
    <n v="150000"/>
    <n v="483300"/>
    <n v="0"/>
    <n v="4000"/>
    <n v="0"/>
    <n v="0"/>
    <n v="4000"/>
    <n v="0"/>
    <n v="3000"/>
    <n v="1500"/>
    <n v="3000"/>
    <n v="8100"/>
    <n v="15600"/>
    <n v="1651473"/>
    <n v="64431"/>
    <n v="255294"/>
    <n v="1971198"/>
    <n v="14499"/>
    <n v="91998"/>
    <n v="13800"/>
    <n v="1620"/>
    <n v="121917"/>
    <n v="16902450"/>
    <n v="16902450"/>
    <n v="32348212.344999999"/>
    <n v="12612304.655000001"/>
    <n v="-16307421.017499998"/>
  </r>
  <r>
    <x v="2"/>
    <n v="44960517"/>
    <n v="44960517"/>
    <n v="36000"/>
    <n v="12813747.344999999"/>
    <n v="12849747.344999999"/>
    <n v="12000"/>
    <n v="208800"/>
    <n v="13500"/>
    <n v="99000"/>
    <n v="150000"/>
    <n v="483300"/>
    <n v="0"/>
    <n v="6000"/>
    <n v="0"/>
    <n v="0"/>
    <n v="6000"/>
    <n v="0"/>
    <n v="3000"/>
    <n v="1500"/>
    <n v="3000"/>
    <n v="8100"/>
    <n v="15600"/>
    <n v="1651473"/>
    <n v="64431"/>
    <n v="255294"/>
    <n v="1971198"/>
    <n v="14499"/>
    <n v="91998"/>
    <n v="13800"/>
    <n v="1620"/>
    <n v="121917"/>
    <n v="16902450"/>
    <n v="16902450"/>
    <n v="32350212.344999999"/>
    <n v="12610304.655000001"/>
    <n v="-3697116.362499997"/>
  </r>
  <r>
    <x v="3"/>
    <n v="44960517"/>
    <n v="44960517"/>
    <n v="36000"/>
    <n v="12813747.344999999"/>
    <n v="12849747.344999999"/>
    <n v="12000"/>
    <n v="208800"/>
    <n v="13500"/>
    <n v="99000"/>
    <n v="150000"/>
    <n v="483300"/>
    <n v="0"/>
    <n v="6000"/>
    <n v="0"/>
    <n v="0"/>
    <n v="6000"/>
    <n v="0"/>
    <n v="3000"/>
    <n v="1500"/>
    <n v="3000"/>
    <n v="8100"/>
    <n v="15600"/>
    <n v="1651473"/>
    <n v="64431"/>
    <n v="255294"/>
    <n v="1971198"/>
    <n v="14499"/>
    <n v="91998"/>
    <n v="13800"/>
    <n v="1620"/>
    <n v="121917"/>
    <n v="16902450"/>
    <n v="16902450"/>
    <n v="32350212.344999999"/>
    <n v="12610304.655000001"/>
    <n v="8913188.2925000042"/>
  </r>
  <r>
    <x v="4"/>
    <n v="44906517"/>
    <n v="44906517"/>
    <n v="36000"/>
    <n v="12798357.344999999"/>
    <n v="12834357.344999999"/>
    <n v="12650"/>
    <n v="208800"/>
    <n v="13500"/>
    <n v="90000"/>
    <n v="150000"/>
    <n v="474950"/>
    <n v="0"/>
    <n v="6000"/>
    <n v="0"/>
    <n v="0"/>
    <n v="6000"/>
    <n v="3000"/>
    <n v="1500"/>
    <n v="3000"/>
    <n v="8100"/>
    <n v="15600"/>
    <n v="31200"/>
    <n v="825828"/>
    <n v="64431"/>
    <n v="255294"/>
    <n v="1145553"/>
    <n v="14499"/>
    <n v="91998"/>
    <n v="13800"/>
    <n v="1620"/>
    <n v="121917"/>
    <n v="16902450"/>
    <n v="16902450"/>
    <n v="31516427.344999999"/>
    <n v="13390089.655000001"/>
    <n v="22303277.947500005"/>
  </r>
  <r>
    <x v="5"/>
    <n v="44906517"/>
    <n v="44906517"/>
    <n v="36000"/>
    <n v="12798357.344999999"/>
    <n v="12834357.344999999"/>
    <n v="12000"/>
    <n v="208800"/>
    <n v="13500"/>
    <n v="90000"/>
    <n v="150000"/>
    <n v="474300"/>
    <n v="0"/>
    <n v="6000"/>
    <n v="0"/>
    <n v="0"/>
    <n v="6000"/>
    <n v="3000"/>
    <n v="1500"/>
    <n v="3000"/>
    <n v="8100"/>
    <n v="15600"/>
    <n v="31200"/>
    <n v="825828"/>
    <n v="64431"/>
    <n v="255294"/>
    <n v="1145553"/>
    <n v="14499"/>
    <n v="91998"/>
    <n v="13800"/>
    <n v="1620"/>
    <n v="121917"/>
    <n v="16902450"/>
    <n v="16902450"/>
    <n v="31515777.344999999"/>
    <n v="13390739.655000001"/>
    <n v="35694017.602500007"/>
  </r>
  <r>
    <x v="6"/>
    <n v="44906517"/>
    <n v="44906517"/>
    <n v="36000"/>
    <n v="12798357.344999999"/>
    <n v="12834357.344999999"/>
    <n v="12000"/>
    <n v="208800"/>
    <n v="13500"/>
    <n v="90000"/>
    <n v="150000"/>
    <n v="474300"/>
    <n v="0"/>
    <n v="6000"/>
    <n v="0"/>
    <n v="0"/>
    <n v="6000"/>
    <n v="3000"/>
    <n v="1500"/>
    <n v="3000"/>
    <n v="8100"/>
    <n v="15600"/>
    <n v="31200"/>
    <n v="825828"/>
    <n v="64431"/>
    <n v="255294"/>
    <n v="1145553"/>
    <n v="14499"/>
    <n v="91998"/>
    <n v="13800"/>
    <n v="1620"/>
    <n v="121917"/>
    <n v="16902450"/>
    <n v="16902450"/>
    <n v="31515777.344999999"/>
    <n v="13390739.655000001"/>
    <n v="49084757.257500008"/>
  </r>
  <r>
    <x v="7"/>
    <n v="63411075"/>
    <n v="63411075"/>
    <n v="36000"/>
    <n v="18072156.375"/>
    <n v="18108156.375"/>
    <n v="24000"/>
    <n v="417600"/>
    <n v="27000"/>
    <n v="198000"/>
    <n v="150000"/>
    <n v="816600"/>
    <n v="0"/>
    <n v="6000"/>
    <n v="0"/>
    <n v="0"/>
    <n v="6000"/>
    <n v="3000"/>
    <n v="1500"/>
    <n v="3000"/>
    <n v="8100"/>
    <n v="15600"/>
    <n v="31200"/>
    <n v="825828"/>
    <n v="64431"/>
    <n v="255294"/>
    <n v="1145553"/>
    <n v="14499"/>
    <n v="91998"/>
    <n v="13800"/>
    <n v="1620"/>
    <n v="121917"/>
    <n v="23838750"/>
    <n v="23838750"/>
    <n v="44068176.375"/>
    <n v="19342898.625"/>
    <n v="68427655.882500008"/>
  </r>
  <r>
    <x v="8"/>
    <n v="63411075"/>
    <n v="63411075"/>
    <n v="36000"/>
    <n v="18072156.375"/>
    <n v="18108156.375"/>
    <n v="24000"/>
    <n v="417600"/>
    <n v="27000"/>
    <n v="198000"/>
    <n v="150000"/>
    <n v="816600"/>
    <n v="0"/>
    <n v="6000"/>
    <n v="0"/>
    <n v="0"/>
    <n v="6000"/>
    <n v="3000"/>
    <n v="1500"/>
    <n v="3000"/>
    <n v="8100"/>
    <n v="15600"/>
    <n v="31200"/>
    <n v="825828"/>
    <n v="89736"/>
    <n v="358944"/>
    <n v="1274508"/>
    <n v="18123"/>
    <n v="183999"/>
    <n v="20700"/>
    <n v="2430"/>
    <n v="225252"/>
    <n v="23838750"/>
    <n v="23838750"/>
    <n v="44300466.375"/>
    <n v="19110608.625"/>
    <n v="87538264.507500008"/>
  </r>
  <r>
    <x v="9"/>
    <n v="63411075"/>
    <n v="63411075"/>
    <n v="36000"/>
    <n v="18072156.375"/>
    <n v="18108156.375"/>
    <n v="24000"/>
    <n v="417600"/>
    <n v="27000"/>
    <n v="198000"/>
    <n v="150000"/>
    <n v="816600"/>
    <n v="0"/>
    <n v="6000"/>
    <n v="0"/>
    <n v="0"/>
    <n v="6000"/>
    <n v="3000"/>
    <n v="1500"/>
    <n v="3000"/>
    <n v="8100"/>
    <n v="15600"/>
    <n v="31200"/>
    <n v="825828"/>
    <n v="89736"/>
    <n v="358944"/>
    <n v="1274508"/>
    <n v="18123"/>
    <n v="183999"/>
    <n v="20700"/>
    <n v="2430"/>
    <n v="225252"/>
    <n v="23838750"/>
    <n v="23838750"/>
    <n v="44300466.375"/>
    <n v="19110608.625"/>
    <n v="106648873.13250001"/>
  </r>
  <r>
    <x v="10"/>
    <n v="63411075"/>
    <n v="63411075"/>
    <n v="36000"/>
    <n v="18072156.375"/>
    <n v="18108156.375"/>
    <n v="24000"/>
    <n v="417600"/>
    <n v="27000"/>
    <n v="198000"/>
    <n v="150000"/>
    <n v="816600"/>
    <n v="0"/>
    <n v="6000"/>
    <n v="0"/>
    <n v="0"/>
    <n v="6000"/>
    <n v="3000"/>
    <n v="1500"/>
    <n v="3000"/>
    <n v="8100"/>
    <n v="15600"/>
    <n v="31200"/>
    <n v="825828"/>
    <n v="89736"/>
    <n v="358944"/>
    <n v="1274508"/>
    <n v="18123"/>
    <n v="183999"/>
    <n v="20700"/>
    <n v="2430"/>
    <n v="225252"/>
    <n v="23838750"/>
    <n v="23838750"/>
    <n v="44300466.375"/>
    <n v="19110608.625"/>
    <n v="125759481.75750001"/>
  </r>
  <r>
    <x v="11"/>
    <n v="63411075"/>
    <n v="63411075"/>
    <n v="36000"/>
    <n v="18072156.375"/>
    <n v="18108156.375"/>
    <n v="24000"/>
    <n v="417600"/>
    <n v="27000"/>
    <n v="198000"/>
    <n v="150000"/>
    <n v="816600"/>
    <n v="0"/>
    <n v="6000"/>
    <n v="0"/>
    <n v="0"/>
    <n v="6000"/>
    <n v="3000"/>
    <n v="1500"/>
    <n v="3000"/>
    <n v="8100"/>
    <n v="15600"/>
    <n v="31200"/>
    <n v="825828"/>
    <n v="89736"/>
    <n v="358944"/>
    <n v="1274508"/>
    <n v="18123"/>
    <n v="183999"/>
    <n v="20700"/>
    <n v="2430"/>
    <n v="225252"/>
    <n v="23838750"/>
    <n v="23838750"/>
    <n v="44300466.375"/>
    <n v="19110608.625"/>
    <n v="144870090.3824999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EB40B43-1027-44C8-80C3-25D1CB66D16F}" name="SalesExpensesProfit" cacheId="1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1" rowHeaderCaption="Quarter">
  <location ref="A7:D23" firstHeaderRow="0" firstDataRow="1" firstDataCol="1"/>
  <pivotFields count="39">
    <pivotField axis="axisRow" numFmtId="14" showAll="0">
      <items count="15">
        <item h="1" x="0"/>
        <item x="1"/>
        <item x="2"/>
        <item x="3"/>
        <item x="4"/>
        <item x="5"/>
        <item x="6"/>
        <item x="7"/>
        <item x="8"/>
        <item x="9"/>
        <item x="10"/>
        <item x="11"/>
        <item x="12"/>
        <item h="1" x="13"/>
        <item t="default"/>
      </items>
    </pivotField>
    <pivotField dataField="1"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dataField="1" numFmtId="165" showAll="0"/>
    <pivotField numFmtId="165" showAll="0"/>
    <pivotField dataField="1" numFmtId="165" showAll="0"/>
    <pivotField showAll="0">
      <items count="7">
        <item x="0"/>
        <item x="1"/>
        <item x="2"/>
        <item x="3"/>
        <item x="4"/>
        <item x="5"/>
        <item t="default"/>
      </items>
    </pivotField>
    <pivotField axis="axisRow" showAll="0">
      <items count="7">
        <item sd="0" x="0"/>
        <item x="1"/>
        <item x="2"/>
        <item x="3"/>
        <item sd="0" x="4"/>
        <item sd="0" x="5"/>
        <item t="default"/>
      </items>
    </pivotField>
  </pivotFields>
  <rowFields count="2">
    <field x="38"/>
    <field x="0"/>
  </rowFields>
  <rowItems count="16">
    <i>
      <x v="1"/>
    </i>
    <i r="1">
      <x v="3"/>
    </i>
    <i r="1">
      <x v="6"/>
    </i>
    <i r="1">
      <x v="9"/>
    </i>
    <i r="1">
      <x v="12"/>
    </i>
    <i>
      <x v="2"/>
    </i>
    <i r="1">
      <x v="3"/>
    </i>
    <i r="1">
      <x v="6"/>
    </i>
    <i r="1">
      <x v="9"/>
    </i>
    <i r="1">
      <x v="12"/>
    </i>
    <i>
      <x v="3"/>
    </i>
    <i r="1">
      <x v="3"/>
    </i>
    <i r="1">
      <x v="6"/>
    </i>
    <i r="1">
      <x v="9"/>
    </i>
    <i r="1">
      <x v="12"/>
    </i>
    <i t="grand">
      <x/>
    </i>
  </rowItems>
  <colFields count="1">
    <field x="-2"/>
  </colFields>
  <colItems count="3">
    <i>
      <x/>
    </i>
    <i i="1">
      <x v="1"/>
    </i>
    <i i="2">
      <x v="2"/>
    </i>
  </colItems>
  <dataFields count="3">
    <dataField name="Sales" fld="1" baseField="37" baseItem="2"/>
    <dataField name="Expenses" fld="34" baseField="37" baseItem="2"/>
    <dataField name="Profit" fld="36" baseField="37" baseItem="2"/>
  </dataFields>
  <formats count="1">
    <format dxfId="6">
      <pivotArea outline="0" collapsedLevelsAreSubtotals="1" fieldPosition="0"/>
    </format>
  </formats>
  <chartFormats count="3">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s>
  <pivotTableStyleInfo name="PivotStyleLight11"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F435895-1C2C-4737-B04A-5F23D556BC3B}" name="PivotTable3" cacheId="1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1" rowHeaderCaption="Quarter">
  <location ref="A30:H46" firstHeaderRow="0" firstDataRow="1" firstDataCol="1"/>
  <pivotFields count="39">
    <pivotField axis="axisRow" numFmtId="14" showAll="0">
      <items count="15">
        <item x="0"/>
        <item x="1"/>
        <item x="2"/>
        <item x="3"/>
        <item x="4"/>
        <item x="5"/>
        <item x="6"/>
        <item x="7"/>
        <item x="8"/>
        <item x="9"/>
        <item x="10"/>
        <item x="11"/>
        <item x="12"/>
        <item x="13"/>
        <item t="default"/>
      </items>
    </pivotField>
    <pivotField numFmtId="165" showAll="0"/>
    <pivotField numFmtId="165" showAll="0"/>
    <pivotField numFmtId="165" showAll="0"/>
    <pivotField numFmtId="165" showAll="0"/>
    <pivotField dataField="1" numFmtId="165" showAll="0"/>
    <pivotField numFmtId="165" showAll="0"/>
    <pivotField numFmtId="165" showAll="0"/>
    <pivotField numFmtId="165" showAll="0"/>
    <pivotField numFmtId="165" showAll="0"/>
    <pivotField numFmtId="165" showAll="0"/>
    <pivotField dataField="1" numFmtId="165" showAll="0"/>
    <pivotField numFmtId="165" showAll="0"/>
    <pivotField numFmtId="165" showAll="0"/>
    <pivotField numFmtId="165" showAll="0"/>
    <pivotField numFmtId="165" showAll="0"/>
    <pivotField dataField="1" numFmtId="165" showAll="0"/>
    <pivotField numFmtId="165" showAll="0"/>
    <pivotField numFmtId="165" showAll="0"/>
    <pivotField numFmtId="165" showAll="0"/>
    <pivotField numFmtId="165" showAll="0"/>
    <pivotField numFmtId="165" showAll="0"/>
    <pivotField dataField="1" numFmtId="165" showAll="0"/>
    <pivotField numFmtId="165" showAll="0"/>
    <pivotField numFmtId="165" showAll="0"/>
    <pivotField numFmtId="165" showAll="0"/>
    <pivotField dataField="1" numFmtId="165" showAll="0"/>
    <pivotField numFmtId="165" showAll="0"/>
    <pivotField numFmtId="165" showAll="0"/>
    <pivotField numFmtId="165" showAll="0"/>
    <pivotField numFmtId="165" showAll="0"/>
    <pivotField dataField="1" numFmtId="165" showAll="0"/>
    <pivotField numFmtId="165" showAll="0"/>
    <pivotField dataField="1" numFmtId="165" showAll="0"/>
    <pivotField numFmtId="165" showAll="0"/>
    <pivotField numFmtId="165" showAll="0"/>
    <pivotField numFmtId="165" showAll="0"/>
    <pivotField showAll="0" defaultSubtotal="0">
      <items count="6">
        <item sd="0" x="0"/>
        <item sd="0" x="1"/>
        <item sd="0" x="2"/>
        <item sd="0" x="3"/>
        <item sd="0" x="4"/>
        <item sd="0" x="5"/>
      </items>
    </pivotField>
    <pivotField axis="axisRow" showAll="0" defaultSubtotal="0">
      <items count="6">
        <item sd="0" x="0"/>
        <item x="1"/>
        <item x="2"/>
        <item x="3"/>
        <item sd="0" x="4"/>
        <item sd="0" x="5"/>
      </items>
    </pivotField>
  </pivotFields>
  <rowFields count="2">
    <field x="38"/>
    <field x="0"/>
  </rowFields>
  <rowItems count="16">
    <i>
      <x v="1"/>
    </i>
    <i r="1">
      <x v="3"/>
    </i>
    <i r="1">
      <x v="6"/>
    </i>
    <i r="1">
      <x v="9"/>
    </i>
    <i r="1">
      <x v="12"/>
    </i>
    <i>
      <x v="2"/>
    </i>
    <i r="1">
      <x v="3"/>
    </i>
    <i r="1">
      <x v="6"/>
    </i>
    <i r="1">
      <x v="9"/>
    </i>
    <i r="1">
      <x v="12"/>
    </i>
    <i>
      <x v="3"/>
    </i>
    <i r="1">
      <x v="3"/>
    </i>
    <i r="1">
      <x v="6"/>
    </i>
    <i r="1">
      <x v="9"/>
    </i>
    <i r="1">
      <x v="12"/>
    </i>
    <i t="grand">
      <x/>
    </i>
  </rowItems>
  <colFields count="1">
    <field x="-2"/>
  </colFields>
  <colItems count="7">
    <i>
      <x/>
    </i>
    <i i="1">
      <x v="1"/>
    </i>
    <i i="2">
      <x v="2"/>
    </i>
    <i i="3">
      <x v="3"/>
    </i>
    <i i="4">
      <x v="4"/>
    </i>
    <i i="5">
      <x v="5"/>
    </i>
    <i i="6">
      <x v="6"/>
    </i>
  </colItems>
  <dataFields count="7">
    <dataField name="Development" fld="16" baseField="0" baseItem="0"/>
    <dataField name="General" fld="5" baseField="0" baseItem="0"/>
    <dataField name="Misc" fld="33" baseField="0" baseItem="0"/>
    <dataField name="Marketing" fld="11" baseField="0" baseItem="0"/>
    <dataField name="Website" fld="22" baseField="0" baseItem="0"/>
    <dataField name="Employment" fld="26" baseField="0" baseItem="0"/>
    <dataField name="Occupancy" fld="31" baseField="0" baseItem="0"/>
  </dataFields>
  <formats count="1">
    <format dxfId="5">
      <pivotArea outline="0" collapsedLevelsAreSubtotals="1" fieldPosition="0"/>
    </format>
  </formats>
  <chartFormats count="8">
    <chartFormat chart="0" format="0" series="1">
      <pivotArea type="data" outline="0" fieldPosition="0">
        <references count="1">
          <reference field="4294967294" count="1" selected="0">
            <x v="1"/>
          </reference>
        </references>
      </pivotArea>
    </chartFormat>
    <chartFormat chart="0" format="1" series="1">
      <pivotArea type="data" outline="0" fieldPosition="0">
        <references count="1">
          <reference field="4294967294" count="1" selected="0">
            <x v="3"/>
          </reference>
        </references>
      </pivotArea>
    </chartFormat>
    <chartFormat chart="0" format="2"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4"/>
          </reference>
        </references>
      </pivotArea>
    </chartFormat>
    <chartFormat chart="0" format="4" series="1">
      <pivotArea type="data" outline="0" fieldPosition="0">
        <references count="1">
          <reference field="4294967294" count="1" selected="0">
            <x v="5"/>
          </reference>
        </references>
      </pivotArea>
    </chartFormat>
    <chartFormat chart="0" format="5" series="1">
      <pivotArea type="data" outline="0" fieldPosition="0">
        <references count="1">
          <reference field="4294967294" count="1" selected="0">
            <x v="6"/>
          </reference>
        </references>
      </pivotArea>
    </chartFormat>
    <chartFormat chart="0" format="6" series="1">
      <pivotArea type="data" outline="0" fieldPosition="0">
        <references count="1">
          <reference field="4294967294" count="1" selected="0">
            <x v="2"/>
          </reference>
        </references>
      </pivotArea>
    </chartFormat>
    <chartFormat chart="0" format="7">
      <pivotArea type="data" outline="0" fieldPosition="0">
        <references count="3">
          <reference field="4294967294" count="1" selected="0">
            <x v="0"/>
          </reference>
          <reference field="0" count="1" selected="0">
            <x v="3"/>
          </reference>
          <reference field="38" count="1" selected="0">
            <x v="1"/>
          </reference>
        </references>
      </pivotArea>
    </chartFormat>
  </chartFormats>
  <pivotTableStyleInfo name="PivotStyleLight1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B4D0CC70-8AD5-497B-A07D-FB458DC66FA4}" name="AllYears" displayName="AllYears" ref="A6:AK18" headerRowDxfId="83" headerRowBorderDxfId="82" tableBorderDxfId="81" totalsRowCellStyle="Calculation">
  <autoFilter ref="A6:AK18" xr:uid="{B4D0CC70-8AD5-497B-A07D-FB458DC66FA4}">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filterColumn colId="31" hiddenButton="1"/>
    <filterColumn colId="32" hiddenButton="1"/>
    <filterColumn colId="33" hiddenButton="1"/>
    <filterColumn colId="34" hiddenButton="1"/>
    <filterColumn colId="35" hiddenButton="1"/>
    <filterColumn colId="36" hiddenButton="1"/>
  </autoFilter>
  <tableColumns count="37">
    <tableColumn id="1" xr3:uid="{F68CCB2E-23C3-4261-BD11-9106C8CD8346}" name="Quarter (End)" totalsRowLabel="Mean" dataDxfId="80" totalsRowDxfId="79"/>
    <tableColumn id="2" xr3:uid="{D93DE317-CD3D-452E-A750-E42E37F2F270}" name="Sale of goods/services" totalsRowFunction="custom" dataDxfId="78" totalsRowDxfId="77" dataCellStyle="Currency">
      <totalsRowFormula>AVERAGE(B7:B18)</totalsRowFormula>
    </tableColumn>
    <tableColumn id="33" xr3:uid="{9144965C-D1F8-4568-942F-DC16ACF8999E}" name="Sum Sales" totalsRowFunction="custom" dataDxfId="76" totalsRowDxfId="75" dataCellStyle="Calculation">
      <calculatedColumnFormula>SUM(AllYears[[#This Row],[Sale of goods/services]])</calculatedColumnFormula>
      <totalsRowFormula>AVERAGE(C7:C18)</totalsRowFormula>
    </tableColumn>
    <tableColumn id="3" xr3:uid="{FBC79721-F752-4481-A77E-2EBFC9022C5F}" name="Legal Fees" totalsRowFunction="custom" dataDxfId="74" totalsRowDxfId="73" dataCellStyle="Currency">
      <totalsRowFormula>AVERAGE(D7:D18)</totalsRowFormula>
    </tableColumn>
    <tableColumn id="4" xr3:uid="{29886FC4-CB72-44E2-A942-70000B722219}" name="General Selling/Admin Cost" totalsRowFunction="custom" dataDxfId="72" totalsRowDxfId="71" dataCellStyle="Currency">
      <totalsRowFormula>AVERAGE(E7:E18)</totalsRowFormula>
    </tableColumn>
    <tableColumn id="34" xr3:uid="{95F87D8C-6D1F-45A7-A672-98FF6E6A8B6B}" name="Sum General Expense" totalsRowFunction="custom" dataDxfId="70" totalsRowDxfId="69" dataCellStyle="Calculation">
      <calculatedColumnFormula>SUM(AllYears[[#This Row],[Legal Fees]:[General Selling/Admin Cost]])</calculatedColumnFormula>
      <totalsRowFormula>AVERAGE(F7:F18)</totalsRowFormula>
    </tableColumn>
    <tableColumn id="5" xr3:uid="{8B096E8E-6DF4-4E31-B5B3-52A8177FE2B3}" name="Radio Ads" totalsRowFunction="custom" dataDxfId="68" totalsRowDxfId="67" dataCellStyle="Currency">
      <totalsRowFormula>AVERAGE(G7:G18)</totalsRowFormula>
    </tableColumn>
    <tableColumn id="6" xr3:uid="{090EC0D6-04C5-4702-80BA-9D3A29AD951D}" name="Newspaper" totalsRowFunction="custom" dataDxfId="66" totalsRowDxfId="65" dataCellStyle="Currency">
      <totalsRowFormula>AVERAGE(H7:H18)</totalsRowFormula>
    </tableColumn>
    <tableColumn id="7" xr3:uid="{FEFB8876-BC03-49E9-B09C-10DCE22A867F}" name="Social Media" totalsRowFunction="custom" dataDxfId="64" totalsRowDxfId="63" dataCellStyle="Currency">
      <totalsRowFormula>AVERAGE(I7:I18)</totalsRowFormula>
    </tableColumn>
    <tableColumn id="8" xr3:uid="{3610EA7E-716D-48FB-9920-F0A3F2DAC1B1}" name="Direct Mail" totalsRowFunction="custom" dataDxfId="62" totalsRowDxfId="61" dataCellStyle="Currency">
      <totalsRowFormula>AVERAGE(J7:J18)</totalsRowFormula>
    </tableColumn>
    <tableColumn id="9" xr3:uid="{D9018C19-3D26-4596-9089-4A0F0602FA63}" name="Magazine" totalsRowFunction="custom" dataDxfId="60" totalsRowDxfId="59" dataCellStyle="Currency">
      <totalsRowFormula>AVERAGE(K7:K18)</totalsRowFormula>
    </tableColumn>
    <tableColumn id="35" xr3:uid="{3244B335-6E1F-47C8-B936-5E9391605002}" name="Sum Marketing Expense" totalsRowFunction="custom" dataDxfId="58" totalsRowDxfId="57" dataCellStyle="Calculation">
      <calculatedColumnFormula>SUM(AllYears[[#This Row],[Radio Ads]:[Magazine]])</calculatedColumnFormula>
      <totalsRowFormula>AVERAGE(L7:L18)</totalsRowFormula>
    </tableColumn>
    <tableColumn id="10" xr3:uid="{16AEA7DB-C47C-4198-9B6B-5E014D5C31CF}" name="HEAR App Development" totalsRowFunction="custom" dataDxfId="56" totalsRowDxfId="55" dataCellStyle="Currency">
      <totalsRowFormula>AVERAGE(M7:M18)</totalsRowFormula>
    </tableColumn>
    <tableColumn id="11" xr3:uid="{9467533D-5230-4E9E-A275-155A015BB371}" name="Cost of upgrading app" totalsRowFunction="custom" dataDxfId="54" totalsRowDxfId="53" dataCellStyle="Currency">
      <totalsRowFormula>AVERAGE(N7:N18)</totalsRowFormula>
    </tableColumn>
    <tableColumn id="12" xr3:uid="{EC018A4B-74F5-4054-812B-8CA05CD25679}" name="Product Design &amp; Development" totalsRowFunction="custom" dataDxfId="52" totalsRowDxfId="51" dataCellStyle="Currency">
      <totalsRowFormula>AVERAGE(O7:O18)</totalsRowFormula>
    </tableColumn>
    <tableColumn id="13" xr3:uid="{D663E860-71F2-4060-9338-F26D420DF64D}" name="Market Testing" totalsRowFunction="custom" dataDxfId="50" totalsRowDxfId="49" dataCellStyle="Currency">
      <totalsRowFormula>AVERAGE(P7:P18)</totalsRowFormula>
    </tableColumn>
    <tableColumn id="36" xr3:uid="{5CA43A23-383F-4773-B83A-72D2D2F86A2D}" name="Sum Development Expense" totalsRowFunction="custom" dataDxfId="48" totalsRowDxfId="47" dataCellStyle="Calculation">
      <calculatedColumnFormula>SUM(AllYears[[#This Row],[HEAR App Development]:[Market Testing]])</calculatedColumnFormula>
      <totalsRowFormula>AVERAGE(Q7:Q18)</totalsRowFormula>
    </tableColumn>
    <tableColumn id="15" xr3:uid="{53928B22-E0EA-41CA-A32F-D701CC93C66B}" name="Development / coding mobile and e-commerce" totalsRowFunction="custom" dataDxfId="46" totalsRowDxfId="45" dataCellStyle="Currency">
      <totalsRowFormula>AVERAGE(R7:R18)</totalsRowFormula>
    </tableColumn>
    <tableColumn id="16" xr3:uid="{5B3C1C59-AAFD-4C8C-BF9E-300749F75C9E}" name="Hosting expenses" totalsRowFunction="custom" dataDxfId="44" totalsRowDxfId="43" dataCellStyle="Currency">
      <totalsRowFormula>AVERAGE(S7:S18)</totalsRowFormula>
    </tableColumn>
    <tableColumn id="17" xr3:uid="{E73FF8D2-F50A-4541-80EB-1BEA5726AC05}" name="Maintenance expenses" totalsRowFunction="custom" dataDxfId="42" totalsRowDxfId="41" dataCellStyle="Currency">
      <totalsRowFormula>AVERAGE(T7:T18)</totalsRowFormula>
    </tableColumn>
    <tableColumn id="18" xr3:uid="{F8AED031-D914-46E0-A21C-C1C22B7DBD22}" name="Search Engine Optimization" totalsRowFunction="custom" dataDxfId="40" totalsRowDxfId="39" dataCellStyle="Currency">
      <totalsRowFormula>AVERAGE(U7:U18)</totalsRowFormula>
    </tableColumn>
    <tableColumn id="19" xr3:uid="{A2A6A1D3-08EE-48B9-A3FA-F59E5865C811}" name="Content Management Systems" totalsRowFunction="custom" dataDxfId="38" totalsRowDxfId="37" dataCellStyle="Currency">
      <totalsRowFormula>AVERAGE(V7:V18)</totalsRowFormula>
    </tableColumn>
    <tableColumn id="37" xr3:uid="{68F61092-E57A-4A73-8CBB-4604CD891705}" name="Sum Website Expense" totalsRowFunction="custom" dataDxfId="36" totalsRowDxfId="35" dataCellStyle="Calculation">
      <calculatedColumnFormula>SUM(AllYears[[#This Row],[Development / coding mobile and e-commerce]:[Content Management Systems]])</calculatedColumnFormula>
      <totalsRowFormula>AVERAGE(W7:W18)</totalsRowFormula>
    </tableColumn>
    <tableColumn id="21" xr3:uid="{D20E34FC-1538-4F8E-AB71-FEE8F4B057D6}" name="Training Costs - existing employees" totalsRowFunction="custom" dataDxfId="34" totalsRowDxfId="33" dataCellStyle="Currency">
      <totalsRowFormula>AVERAGE(X7:X18)</totalsRowFormula>
    </tableColumn>
    <tableColumn id="22" xr3:uid="{9AFCBF0C-D23E-4EEE-85D2-98FA5984D0DE}" name="Other - New Employee Benefits" totalsRowFunction="custom" dataDxfId="32" totalsRowDxfId="31" dataCellStyle="Currency">
      <totalsRowFormula>AVERAGE(Y7:Y18)</totalsRowFormula>
    </tableColumn>
    <tableColumn id="23" xr3:uid="{87706BE7-EACD-4243-B832-0095BD5634FA}" name="Recruitment costs - new salaries" totalsRowFunction="custom" dataDxfId="30" totalsRowDxfId="29" dataCellStyle="Currency">
      <totalsRowFormula>AVERAGE(Z7:Z18)</totalsRowFormula>
    </tableColumn>
    <tableColumn id="38" xr3:uid="{00524840-7A46-4C0E-9343-5AEF665DE817}" name="Sum Employee Expense" totalsRowFunction="custom" dataDxfId="28" totalsRowDxfId="27" dataCellStyle="Calculation">
      <calculatedColumnFormula>SUM(AllYears[[#This Row],[Training Costs - existing employees]:[Recruitment costs - new salaries]])</calculatedColumnFormula>
      <totalsRowFormula>AVERAGE(AA7:AA18)</totalsRowFormula>
    </tableColumn>
    <tableColumn id="25" xr3:uid="{F2488BD9-27D9-4C9F-8190-D0B1FD93DDAA}" name="Inventory Holding Cost - warehouse" totalsRowFunction="custom" dataDxfId="26" totalsRowDxfId="25" dataCellStyle="Currency">
      <totalsRowFormula>AVERAGE(AB7:AB18)</totalsRowFormula>
    </tableColumn>
    <tableColumn id="26" xr3:uid="{638FA292-D174-408B-9A7D-0CB22F394183}" name="Inventory Holding Cost - store" totalsRowFunction="custom" dataDxfId="24" totalsRowDxfId="23" dataCellStyle="Currency">
      <totalsRowFormula>AVERAGE(AC7:AC18)</totalsRowFormula>
    </tableColumn>
    <tableColumn id="27" xr3:uid="{5DDB5302-8C66-4E3B-BF4F-C3563BF1D9BF}" name="Space for Customer Support Team/Rent" totalsRowFunction="custom" dataDxfId="22" totalsRowDxfId="21" dataCellStyle="Currency">
      <totalsRowFormula>AVERAGE(AD7:AD18)</totalsRowFormula>
    </tableColumn>
    <tableColumn id="28" xr3:uid="{5DF954B2-B6DA-49CF-9D37-C2B13922A840}" name="Utilities for Customer Support Space" totalsRowFunction="custom" dataDxfId="20" totalsRowDxfId="19" dataCellStyle="Currency">
      <totalsRowFormula>AVERAGE(AE7:AE18)</totalsRowFormula>
    </tableColumn>
    <tableColumn id="39" xr3:uid="{AF574EB7-253C-4BFA-8CC0-0D20B65D3D20}" name="Sum Occupancy Expense" totalsRowFunction="custom" dataDxfId="18" totalsRowDxfId="17" dataCellStyle="Calculation">
      <calculatedColumnFormula>SUM(AllYears[[#This Row],[Inventory Holding Cost - warehouse]:[Utilities for Customer Support Space]])</calculatedColumnFormula>
      <totalsRowFormula>AVERAGE(AF7:AF18)</totalsRowFormula>
    </tableColumn>
    <tableColumn id="29" xr3:uid="{ED0188DC-6986-4759-9F0B-137936790712}" name="Wholesale expense to hearing aid company" totalsRowFunction="custom" dataDxfId="16" totalsRowDxfId="15" dataCellStyle="Currency">
      <totalsRowFormula>AVERAGE(AG7:AG18)</totalsRowFormula>
    </tableColumn>
    <tableColumn id="40" xr3:uid="{81EE16BE-C880-4097-9996-F4B1BC168A34}" name="Sum Misc Expense" totalsRowFunction="custom" dataDxfId="14" totalsRowDxfId="13" dataCellStyle="Calculation">
      <calculatedColumnFormula>SUM(AllYears[[#This Row],[Wholesale expense to hearing aid company]])</calculatedColumnFormula>
      <totalsRowFormula>AVERAGE(AH7:AH18)</totalsRowFormula>
    </tableColumn>
    <tableColumn id="30" xr3:uid="{A2E7A3FD-4CAE-408A-A563-C7EAEAA8CB62}" name="Total Expenses" totalsRowFunction="custom" dataDxfId="12" totalsRowDxfId="11" dataCellStyle="Calculation">
      <calculatedColumnFormula>SUM(AllYears[[#This Row],[Sum General Expense]],AllYears[[#This Row],[Sum Marketing Expense]],AllYears[[#This Row],[Sum Development Expense]],AllYears[[#This Row],[Sum Website Expense]],AllYears[[#This Row],[Sum Employee Expense]],AllYears[[#This Row],[Sum Occupancy Expense]],AllYears[[#This Row],[Sum Misc Expense]])</calculatedColumnFormula>
      <totalsRowFormula>AVERAGE(AI7:AI18)</totalsRowFormula>
    </tableColumn>
    <tableColumn id="31" xr3:uid="{EDAC3927-A948-445F-86FC-7808402775BA}" name="Quarter Net Profit" totalsRowFunction="custom" dataDxfId="10" totalsRowDxfId="9" dataCellStyle="Calculation">
      <calculatedColumnFormula>AllYears[[#This Row],[Sum Sales]]-AllYears[[#This Row],[Total Expenses]]</calculatedColumnFormula>
      <totalsRowFormula>AVERAGE(AJ7:AJ18)</totalsRowFormula>
    </tableColumn>
    <tableColumn id="32" xr3:uid="{33151757-AB83-4AD0-9DC7-F3C53CF2DC57}" name="To-Date Net Profit" totalsRowFunction="custom" dataDxfId="8" totalsRowDxfId="7" dataCellStyle="Calculation">
      <calculatedColumnFormula>SUM(AJ6:AJ7)</calculatedColumnFormula>
      <totalsRowFormula>AVERAGE(AK7:AK18)</totalsRowFormula>
    </tableColumn>
  </tableColumns>
  <tableStyleInfo name="TableStyleMedium9" showFirstColumn="1"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Quarter__End" xr10:uid="{F9A41A47-5104-4653-BB3F-759F684E1AE0}" sourceName="Quarter (End)">
  <pivotTables>
    <pivotTable tabId="11" name="SalesExpensesProfit"/>
  </pivotTables>
  <state minimalRefreshVersion="6" lastRefreshVersion="6" pivotCacheId="925326239" filterType="unknown">
    <bounds startDate="2013-12-31T00:00:00" endDate="2017-12-3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Quarter__End1" xr10:uid="{95141FEC-B4F9-4953-92A5-8C9BFA125DC9}" sourceName="Quarter (End)">
  <pivotTables>
    <pivotTable tabId="12" name="PivotTable3"/>
  </pivotTables>
  <state minimalRefreshVersion="6" lastRefreshVersion="6" pivotCacheId="925326239" filterType="unknown">
    <bounds startDate="2013-12-31T00:00:00" endDate="2017-12-3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Quarter (End)" xr10:uid="{C7F7340C-BECD-4E95-A8A2-8707A39659B2}" cache="NativeTimeline_Quarter__End" caption="Quarter (End)" showHeader="0" showSelectionLabel="0" level="1" selectionLevel="1" scrollPosition="2018-01-01T00:00:00" style="TimeSlicerStyleLight3"/>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Quarter (End) 1" xr10:uid="{6FEFAECA-F3E0-4E9E-AFF2-0542D57EC0CC}" cache="NativeTimeline_Quarter__End1" caption="Quarter (End)" showHeader="0" showSelectionLabel="0" showTimeLevel="0" showHorizontalScrollbar="0" level="1" selectionLevel="1" scrollPosition="2018-01-01T00:00:00" style="TimeSlicerStyleLight2"/>
</timeline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11/relationships/timeline" Target="../timelines/timeline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microsoft.com/office/2011/relationships/timeline" Target="../timelines/timeline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F52D41-B011-4E00-96CA-48BC6979B292}">
  <dimension ref="A2:M41"/>
  <sheetViews>
    <sheetView showGridLines="0" showRowColHeaders="0" topLeftCell="A10" workbookViewId="0">
      <selection activeCell="O19" sqref="O19"/>
    </sheetView>
  </sheetViews>
  <sheetFormatPr defaultRowHeight="12.75" x14ac:dyDescent="0.2"/>
  <cols>
    <col min="1" max="1" width="8.875" customWidth="1"/>
    <col min="2" max="2" width="21" customWidth="1"/>
  </cols>
  <sheetData>
    <row r="2" spans="1:13" x14ac:dyDescent="0.2">
      <c r="A2" s="3" t="s">
        <v>0</v>
      </c>
      <c r="B2" s="2" t="s">
        <v>1</v>
      </c>
    </row>
    <row r="3" spans="1:13" x14ac:dyDescent="0.2">
      <c r="A3" s="3" t="s">
        <v>2</v>
      </c>
      <c r="B3" s="2" t="s">
        <v>3</v>
      </c>
    </row>
    <row r="5" spans="1:13" ht="14.25" x14ac:dyDescent="0.2">
      <c r="A5" s="4" t="s">
        <v>4</v>
      </c>
    </row>
    <row r="6" spans="1:13" x14ac:dyDescent="0.2">
      <c r="A6" s="56" t="s">
        <v>107</v>
      </c>
      <c r="B6" s="57"/>
      <c r="C6" s="57"/>
      <c r="D6" s="57"/>
      <c r="E6" s="57"/>
      <c r="F6" s="57"/>
      <c r="G6" s="57"/>
      <c r="H6" s="57"/>
      <c r="I6" s="57"/>
      <c r="J6" s="57"/>
      <c r="K6" s="57"/>
      <c r="L6" s="57"/>
      <c r="M6" s="57"/>
    </row>
    <row r="7" spans="1:13" x14ac:dyDescent="0.2">
      <c r="A7" s="57"/>
      <c r="B7" s="57"/>
      <c r="C7" s="57"/>
      <c r="D7" s="57"/>
      <c r="E7" s="57"/>
      <c r="F7" s="57"/>
      <c r="G7" s="57"/>
      <c r="H7" s="57"/>
      <c r="I7" s="57"/>
      <c r="J7" s="57"/>
      <c r="K7" s="57"/>
      <c r="L7" s="57"/>
      <c r="M7" s="57"/>
    </row>
    <row r="8" spans="1:13" x14ac:dyDescent="0.2">
      <c r="A8" s="57"/>
      <c r="B8" s="57"/>
      <c r="C8" s="57"/>
      <c r="D8" s="57"/>
      <c r="E8" s="57"/>
      <c r="F8" s="57"/>
      <c r="G8" s="57"/>
      <c r="H8" s="57"/>
      <c r="I8" s="57"/>
      <c r="J8" s="57"/>
      <c r="K8" s="57"/>
      <c r="L8" s="57"/>
      <c r="M8" s="57"/>
    </row>
    <row r="9" spans="1:13" x14ac:dyDescent="0.2">
      <c r="A9" s="57"/>
      <c r="B9" s="57"/>
      <c r="C9" s="57"/>
      <c r="D9" s="57"/>
      <c r="E9" s="57"/>
      <c r="F9" s="57"/>
      <c r="G9" s="57"/>
      <c r="H9" s="57"/>
      <c r="I9" s="57"/>
      <c r="J9" s="57"/>
      <c r="K9" s="57"/>
      <c r="L9" s="57"/>
      <c r="M9" s="57"/>
    </row>
    <row r="11" spans="1:13" ht="14.25" x14ac:dyDescent="0.2">
      <c r="A11" s="4" t="s">
        <v>5</v>
      </c>
    </row>
    <row r="12" spans="1:13" x14ac:dyDescent="0.2">
      <c r="A12" s="56" t="s">
        <v>108</v>
      </c>
      <c r="B12" s="57"/>
      <c r="C12" s="57"/>
      <c r="D12" s="57"/>
      <c r="E12" s="57"/>
      <c r="F12" s="57"/>
      <c r="G12" s="57"/>
      <c r="H12" s="57"/>
      <c r="I12" s="57"/>
      <c r="J12" s="57"/>
      <c r="K12" s="57"/>
      <c r="L12" s="57"/>
      <c r="M12" s="57"/>
    </row>
    <row r="13" spans="1:13" x14ac:dyDescent="0.2">
      <c r="A13" s="56"/>
      <c r="B13" s="57"/>
      <c r="C13" s="57"/>
      <c r="D13" s="57"/>
      <c r="E13" s="57"/>
      <c r="F13" s="57"/>
      <c r="G13" s="57"/>
      <c r="H13" s="57"/>
      <c r="I13" s="57"/>
      <c r="J13" s="57"/>
      <c r="K13" s="57"/>
      <c r="L13" s="57"/>
      <c r="M13" s="57"/>
    </row>
    <row r="14" spans="1:13" x14ac:dyDescent="0.2">
      <c r="A14" s="56"/>
      <c r="B14" s="57"/>
      <c r="C14" s="57"/>
      <c r="D14" s="57"/>
      <c r="E14" s="57"/>
      <c r="F14" s="57"/>
      <c r="G14" s="57"/>
      <c r="H14" s="57"/>
      <c r="I14" s="57"/>
      <c r="J14" s="57"/>
      <c r="K14" s="57"/>
      <c r="L14" s="57"/>
      <c r="M14" s="57"/>
    </row>
    <row r="15" spans="1:13" x14ac:dyDescent="0.2">
      <c r="A15" s="56"/>
      <c r="B15" s="57"/>
      <c r="C15" s="57"/>
      <c r="D15" s="57"/>
      <c r="E15" s="57"/>
      <c r="F15" s="57"/>
      <c r="G15" s="57"/>
      <c r="H15" s="57"/>
      <c r="I15" s="57"/>
      <c r="J15" s="57"/>
      <c r="K15" s="57"/>
      <c r="L15" s="57"/>
      <c r="M15" s="57"/>
    </row>
    <row r="16" spans="1:13" x14ac:dyDescent="0.2">
      <c r="A16" s="56"/>
      <c r="B16" s="57"/>
      <c r="C16" s="57"/>
      <c r="D16" s="57"/>
      <c r="E16" s="57"/>
      <c r="F16" s="57"/>
      <c r="G16" s="57"/>
      <c r="H16" s="57"/>
      <c r="I16" s="57"/>
      <c r="J16" s="57"/>
      <c r="K16" s="57"/>
      <c r="L16" s="57"/>
      <c r="M16" s="57"/>
    </row>
    <row r="17" spans="1:13" x14ac:dyDescent="0.2">
      <c r="A17" s="56"/>
      <c r="B17" s="57"/>
      <c r="C17" s="57"/>
      <c r="D17" s="57"/>
      <c r="E17" s="57"/>
      <c r="F17" s="57"/>
      <c r="G17" s="57"/>
      <c r="H17" s="57"/>
      <c r="I17" s="57"/>
      <c r="J17" s="57"/>
      <c r="K17" s="57"/>
      <c r="L17" s="57"/>
      <c r="M17" s="57"/>
    </row>
    <row r="18" spans="1:13" x14ac:dyDescent="0.2">
      <c r="A18" s="56"/>
      <c r="B18" s="57"/>
      <c r="C18" s="57"/>
      <c r="D18" s="57"/>
      <c r="E18" s="57"/>
      <c r="F18" s="57"/>
      <c r="G18" s="57"/>
      <c r="H18" s="57"/>
      <c r="I18" s="57"/>
      <c r="J18" s="57"/>
      <c r="K18" s="57"/>
      <c r="L18" s="57"/>
      <c r="M18" s="57"/>
    </row>
    <row r="19" spans="1:13" x14ac:dyDescent="0.2">
      <c r="A19" s="56"/>
      <c r="B19" s="57"/>
      <c r="C19" s="57"/>
      <c r="D19" s="57"/>
      <c r="E19" s="57"/>
      <c r="F19" s="57"/>
      <c r="G19" s="57"/>
      <c r="H19" s="57"/>
      <c r="I19" s="57"/>
      <c r="J19" s="57"/>
      <c r="K19" s="57"/>
      <c r="L19" s="57"/>
      <c r="M19" s="57"/>
    </row>
    <row r="20" spans="1:13" x14ac:dyDescent="0.2">
      <c r="A20" s="57"/>
      <c r="B20" s="57"/>
      <c r="C20" s="57"/>
      <c r="D20" s="57"/>
      <c r="E20" s="57"/>
      <c r="F20" s="57"/>
      <c r="G20" s="57"/>
      <c r="H20" s="57"/>
      <c r="I20" s="57"/>
      <c r="J20" s="57"/>
      <c r="K20" s="57"/>
      <c r="L20" s="57"/>
      <c r="M20" s="57"/>
    </row>
    <row r="21" spans="1:13" x14ac:dyDescent="0.2">
      <c r="A21" s="57"/>
      <c r="B21" s="57"/>
      <c r="C21" s="57"/>
      <c r="D21" s="57"/>
      <c r="E21" s="57"/>
      <c r="F21" s="57"/>
      <c r="G21" s="57"/>
      <c r="H21" s="57"/>
      <c r="I21" s="57"/>
      <c r="J21" s="57"/>
      <c r="K21" s="57"/>
      <c r="L21" s="57"/>
      <c r="M21" s="57"/>
    </row>
    <row r="22" spans="1:13" x14ac:dyDescent="0.2">
      <c r="A22" s="57"/>
      <c r="B22" s="57"/>
      <c r="C22" s="57"/>
      <c r="D22" s="57"/>
      <c r="E22" s="57"/>
      <c r="F22" s="57"/>
      <c r="G22" s="57"/>
      <c r="H22" s="57"/>
      <c r="I22" s="57"/>
      <c r="J22" s="57"/>
      <c r="K22" s="57"/>
      <c r="L22" s="57"/>
      <c r="M22" s="57"/>
    </row>
    <row r="23" spans="1:13" x14ac:dyDescent="0.2">
      <c r="A23" s="57"/>
      <c r="B23" s="57"/>
      <c r="C23" s="57"/>
      <c r="D23" s="57"/>
      <c r="E23" s="57"/>
      <c r="F23" s="57"/>
      <c r="G23" s="57"/>
      <c r="H23" s="57"/>
      <c r="I23" s="57"/>
      <c r="J23" s="57"/>
      <c r="K23" s="57"/>
      <c r="L23" s="57"/>
      <c r="M23" s="57"/>
    </row>
    <row r="24" spans="1:13" x14ac:dyDescent="0.2">
      <c r="A24" s="57"/>
      <c r="B24" s="57"/>
      <c r="C24" s="57"/>
      <c r="D24" s="57"/>
      <c r="E24" s="57"/>
      <c r="F24" s="57"/>
      <c r="G24" s="57"/>
      <c r="H24" s="57"/>
      <c r="I24" s="57"/>
      <c r="J24" s="57"/>
      <c r="K24" s="57"/>
      <c r="L24" s="57"/>
      <c r="M24" s="57"/>
    </row>
    <row r="25" spans="1:13" x14ac:dyDescent="0.2">
      <c r="A25" s="57"/>
      <c r="B25" s="57"/>
      <c r="C25" s="57"/>
      <c r="D25" s="57"/>
      <c r="E25" s="57"/>
      <c r="F25" s="57"/>
      <c r="G25" s="57"/>
      <c r="H25" s="57"/>
      <c r="I25" s="57"/>
      <c r="J25" s="57"/>
      <c r="K25" s="57"/>
      <c r="L25" s="57"/>
      <c r="M25" s="57"/>
    </row>
    <row r="26" spans="1:13" x14ac:dyDescent="0.2">
      <c r="A26" s="57"/>
      <c r="B26" s="57"/>
      <c r="C26" s="57"/>
      <c r="D26" s="57"/>
      <c r="E26" s="57"/>
      <c r="F26" s="57"/>
      <c r="G26" s="57"/>
      <c r="H26" s="57"/>
      <c r="I26" s="57"/>
      <c r="J26" s="57"/>
      <c r="K26" s="57"/>
      <c r="L26" s="57"/>
      <c r="M26" s="57"/>
    </row>
    <row r="27" spans="1:13" x14ac:dyDescent="0.2">
      <c r="A27" s="57"/>
      <c r="B27" s="57"/>
      <c r="C27" s="57"/>
      <c r="D27" s="57"/>
      <c r="E27" s="57"/>
      <c r="F27" s="57"/>
      <c r="G27" s="57"/>
      <c r="H27" s="57"/>
      <c r="I27" s="57"/>
      <c r="J27" s="57"/>
      <c r="K27" s="57"/>
      <c r="L27" s="57"/>
      <c r="M27" s="57"/>
    </row>
    <row r="28" spans="1:13" x14ac:dyDescent="0.2">
      <c r="A28" s="57"/>
      <c r="B28" s="57"/>
      <c r="C28" s="57"/>
      <c r="D28" s="57"/>
      <c r="E28" s="57"/>
      <c r="F28" s="57"/>
      <c r="G28" s="57"/>
      <c r="H28" s="57"/>
      <c r="I28" s="57"/>
      <c r="J28" s="57"/>
      <c r="K28" s="57"/>
      <c r="L28" s="57"/>
      <c r="M28" s="57"/>
    </row>
    <row r="29" spans="1:13" x14ac:dyDescent="0.2">
      <c r="A29" s="57"/>
      <c r="B29" s="57"/>
      <c r="C29" s="57"/>
      <c r="D29" s="57"/>
      <c r="E29" s="57"/>
      <c r="F29" s="57"/>
      <c r="G29" s="57"/>
      <c r="H29" s="57"/>
      <c r="I29" s="57"/>
      <c r="J29" s="57"/>
      <c r="K29" s="57"/>
      <c r="L29" s="57"/>
      <c r="M29" s="57"/>
    </row>
    <row r="30" spans="1:13" x14ac:dyDescent="0.2">
      <c r="A30" s="57"/>
      <c r="B30" s="57"/>
      <c r="C30" s="57"/>
      <c r="D30" s="57"/>
      <c r="E30" s="57"/>
      <c r="F30" s="57"/>
      <c r="G30" s="57"/>
      <c r="H30" s="57"/>
      <c r="I30" s="57"/>
      <c r="J30" s="57"/>
      <c r="K30" s="57"/>
      <c r="L30" s="57"/>
      <c r="M30" s="57"/>
    </row>
    <row r="31" spans="1:13" x14ac:dyDescent="0.2">
      <c r="A31" s="57"/>
      <c r="B31" s="57"/>
      <c r="C31" s="57"/>
      <c r="D31" s="57"/>
      <c r="E31" s="57"/>
      <c r="F31" s="57"/>
      <c r="G31" s="57"/>
      <c r="H31" s="57"/>
      <c r="I31" s="57"/>
      <c r="J31" s="57"/>
      <c r="K31" s="57"/>
      <c r="L31" s="57"/>
      <c r="M31" s="57"/>
    </row>
    <row r="32" spans="1:13" x14ac:dyDescent="0.2">
      <c r="A32" s="57"/>
      <c r="B32" s="57"/>
      <c r="C32" s="57"/>
      <c r="D32" s="57"/>
      <c r="E32" s="57"/>
      <c r="F32" s="57"/>
      <c r="G32" s="57"/>
      <c r="H32" s="57"/>
      <c r="I32" s="57"/>
      <c r="J32" s="57"/>
      <c r="K32" s="57"/>
      <c r="L32" s="57"/>
      <c r="M32" s="57"/>
    </row>
    <row r="33" spans="1:13" x14ac:dyDescent="0.2">
      <c r="A33" s="57"/>
      <c r="B33" s="57"/>
      <c r="C33" s="57"/>
      <c r="D33" s="57"/>
      <c r="E33" s="57"/>
      <c r="F33" s="57"/>
      <c r="G33" s="57"/>
      <c r="H33" s="57"/>
      <c r="I33" s="57"/>
      <c r="J33" s="57"/>
      <c r="K33" s="57"/>
      <c r="L33" s="57"/>
      <c r="M33" s="57"/>
    </row>
    <row r="34" spans="1:13" x14ac:dyDescent="0.2">
      <c r="A34" s="57"/>
      <c r="B34" s="57"/>
      <c r="C34" s="57"/>
      <c r="D34" s="57"/>
      <c r="E34" s="57"/>
      <c r="F34" s="57"/>
      <c r="G34" s="57"/>
      <c r="H34" s="57"/>
      <c r="I34" s="57"/>
      <c r="J34" s="57"/>
      <c r="K34" s="57"/>
      <c r="L34" s="57"/>
      <c r="M34" s="57"/>
    </row>
    <row r="36" spans="1:13" ht="14.25" x14ac:dyDescent="0.2">
      <c r="A36" s="4" t="s">
        <v>6</v>
      </c>
    </row>
    <row r="37" spans="1:13" x14ac:dyDescent="0.2">
      <c r="A37" s="56" t="s">
        <v>109</v>
      </c>
      <c r="B37" s="57"/>
      <c r="C37" s="57"/>
      <c r="D37" s="57"/>
      <c r="E37" s="57"/>
      <c r="F37" s="57"/>
      <c r="G37" s="57"/>
      <c r="H37" s="57"/>
      <c r="I37" s="57"/>
      <c r="J37" s="57"/>
      <c r="K37" s="57"/>
      <c r="L37" s="57"/>
      <c r="M37" s="57"/>
    </row>
    <row r="38" spans="1:13" x14ac:dyDescent="0.2">
      <c r="A38" s="57"/>
      <c r="B38" s="57"/>
      <c r="C38" s="57"/>
      <c r="D38" s="57"/>
      <c r="E38" s="57"/>
      <c r="F38" s="57"/>
      <c r="G38" s="57"/>
      <c r="H38" s="57"/>
      <c r="I38" s="57"/>
      <c r="J38" s="57"/>
      <c r="K38" s="57"/>
      <c r="L38" s="57"/>
      <c r="M38" s="57"/>
    </row>
    <row r="39" spans="1:13" x14ac:dyDescent="0.2">
      <c r="A39" s="57"/>
      <c r="B39" s="57"/>
      <c r="C39" s="57"/>
      <c r="D39" s="57"/>
      <c r="E39" s="57"/>
      <c r="F39" s="57"/>
      <c r="G39" s="57"/>
      <c r="H39" s="57"/>
      <c r="I39" s="57"/>
      <c r="J39" s="57"/>
      <c r="K39" s="57"/>
      <c r="L39" s="57"/>
      <c r="M39" s="57"/>
    </row>
    <row r="40" spans="1:13" x14ac:dyDescent="0.2">
      <c r="A40" s="57"/>
      <c r="B40" s="57"/>
      <c r="C40" s="57"/>
      <c r="D40" s="57"/>
      <c r="E40" s="57"/>
      <c r="F40" s="57"/>
      <c r="G40" s="57"/>
      <c r="H40" s="57"/>
      <c r="I40" s="57"/>
      <c r="J40" s="57"/>
      <c r="K40" s="57"/>
      <c r="L40" s="57"/>
      <c r="M40" s="57"/>
    </row>
    <row r="41" spans="1:13" x14ac:dyDescent="0.2">
      <c r="A41" s="57"/>
      <c r="B41" s="57"/>
      <c r="C41" s="57"/>
      <c r="D41" s="57"/>
      <c r="E41" s="57"/>
      <c r="F41" s="57"/>
      <c r="G41" s="57"/>
      <c r="H41" s="57"/>
      <c r="I41" s="57"/>
      <c r="J41" s="57"/>
      <c r="K41" s="57"/>
      <c r="L41" s="57"/>
      <c r="M41" s="57"/>
    </row>
  </sheetData>
  <mergeCells count="3">
    <mergeCell ref="A6:M9"/>
    <mergeCell ref="A12:M34"/>
    <mergeCell ref="A37:M41"/>
  </mergeCells>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4535BE-1B10-4551-9969-6667ECF06156}">
  <dimension ref="A1:D23"/>
  <sheetViews>
    <sheetView showGridLines="0" showRowColHeaders="0" workbookViewId="0">
      <selection activeCell="A8" sqref="A8"/>
    </sheetView>
  </sheetViews>
  <sheetFormatPr defaultRowHeight="12.75" x14ac:dyDescent="0.2"/>
  <cols>
    <col min="1" max="1" width="11.5" bestFit="1" customWidth="1"/>
    <col min="2" max="4" width="15.5" bestFit="1" customWidth="1"/>
  </cols>
  <sheetData>
    <row r="1" spans="1:4" ht="20.25" customHeight="1" x14ac:dyDescent="0.3">
      <c r="A1" s="22" t="s">
        <v>67</v>
      </c>
    </row>
    <row r="2" spans="1:4" ht="20.25" customHeight="1" thickBot="1" x14ac:dyDescent="0.35">
      <c r="A2" s="21" t="s">
        <v>8</v>
      </c>
    </row>
    <row r="3" spans="1:4" ht="20.25" customHeight="1" thickTop="1" x14ac:dyDescent="0.25">
      <c r="A3" s="24" t="s">
        <v>71</v>
      </c>
    </row>
    <row r="4" spans="1:4" ht="91.5" customHeight="1" x14ac:dyDescent="0.2"/>
    <row r="5" spans="1:4" ht="15" customHeight="1" x14ac:dyDescent="0.2"/>
    <row r="6" spans="1:4" ht="18" thickBot="1" x14ac:dyDescent="0.25">
      <c r="A6" s="58" t="s">
        <v>69</v>
      </c>
      <c r="B6" s="58"/>
      <c r="C6" s="58"/>
      <c r="D6" s="58"/>
    </row>
    <row r="7" spans="1:4" ht="13.5" thickTop="1" x14ac:dyDescent="0.2">
      <c r="A7" s="17" t="s">
        <v>40</v>
      </c>
      <c r="B7" t="s">
        <v>9</v>
      </c>
      <c r="C7" t="s">
        <v>11</v>
      </c>
      <c r="D7" t="s">
        <v>70</v>
      </c>
    </row>
    <row r="8" spans="1:4" x14ac:dyDescent="0.2">
      <c r="A8" s="18" t="s">
        <v>60</v>
      </c>
      <c r="B8" s="20">
        <v>134881551</v>
      </c>
      <c r="C8" s="20">
        <v>125968362.7075</v>
      </c>
      <c r="D8" s="20">
        <v>-40011074.75999999</v>
      </c>
    </row>
    <row r="9" spans="1:4" x14ac:dyDescent="0.2">
      <c r="A9" s="19" t="s">
        <v>61</v>
      </c>
      <c r="B9" s="20">
        <v>0</v>
      </c>
      <c r="C9" s="20">
        <v>28919725.672499999</v>
      </c>
      <c r="D9" s="20">
        <v>-28919725.672499999</v>
      </c>
    </row>
    <row r="10" spans="1:4" x14ac:dyDescent="0.2">
      <c r="A10" s="19" t="s">
        <v>62</v>
      </c>
      <c r="B10" s="20">
        <v>44960517</v>
      </c>
      <c r="C10" s="20">
        <v>32348212.344999999</v>
      </c>
      <c r="D10" s="20">
        <v>-16307421.017499998</v>
      </c>
    </row>
    <row r="11" spans="1:4" x14ac:dyDescent="0.2">
      <c r="A11" s="19" t="s">
        <v>63</v>
      </c>
      <c r="B11" s="20">
        <v>44960517</v>
      </c>
      <c r="C11" s="20">
        <v>32350212.344999999</v>
      </c>
      <c r="D11" s="20">
        <v>-3697116.362499997</v>
      </c>
    </row>
    <row r="12" spans="1:4" x14ac:dyDescent="0.2">
      <c r="A12" s="19" t="s">
        <v>64</v>
      </c>
      <c r="B12" s="20">
        <v>44960517</v>
      </c>
      <c r="C12" s="20">
        <v>32350212.344999999</v>
      </c>
      <c r="D12" s="20">
        <v>8913188.2925000042</v>
      </c>
    </row>
    <row r="13" spans="1:4" x14ac:dyDescent="0.2">
      <c r="A13" s="18" t="s">
        <v>65</v>
      </c>
      <c r="B13" s="20">
        <v>198130626</v>
      </c>
      <c r="C13" s="20">
        <v>138616158.41</v>
      </c>
      <c r="D13" s="20">
        <v>175509708.69000003</v>
      </c>
    </row>
    <row r="14" spans="1:4" x14ac:dyDescent="0.2">
      <c r="A14" s="19" t="s">
        <v>61</v>
      </c>
      <c r="B14" s="20">
        <v>44906517</v>
      </c>
      <c r="C14" s="20">
        <v>31516427.344999999</v>
      </c>
      <c r="D14" s="20">
        <v>22303277.947500005</v>
      </c>
    </row>
    <row r="15" spans="1:4" x14ac:dyDescent="0.2">
      <c r="A15" s="19" t="s">
        <v>62</v>
      </c>
      <c r="B15" s="20">
        <v>44906517</v>
      </c>
      <c r="C15" s="20">
        <v>31515777.344999999</v>
      </c>
      <c r="D15" s="20">
        <v>35694017.602500007</v>
      </c>
    </row>
    <row r="16" spans="1:4" x14ac:dyDescent="0.2">
      <c r="A16" s="19" t="s">
        <v>63</v>
      </c>
      <c r="B16" s="20">
        <v>44906517</v>
      </c>
      <c r="C16" s="20">
        <v>31515777.344999999</v>
      </c>
      <c r="D16" s="20">
        <v>49084757.257500008</v>
      </c>
    </row>
    <row r="17" spans="1:4" x14ac:dyDescent="0.2">
      <c r="A17" s="19" t="s">
        <v>64</v>
      </c>
      <c r="B17" s="20">
        <v>63411075</v>
      </c>
      <c r="C17" s="20">
        <v>44068176.375</v>
      </c>
      <c r="D17" s="20">
        <v>68427655.882500008</v>
      </c>
    </row>
    <row r="18" spans="1:4" x14ac:dyDescent="0.2">
      <c r="A18" s="18" t="s">
        <v>66</v>
      </c>
      <c r="B18" s="20">
        <v>253644300</v>
      </c>
      <c r="C18" s="20">
        <v>177201865.5</v>
      </c>
      <c r="D18" s="20">
        <v>464816709.78000003</v>
      </c>
    </row>
    <row r="19" spans="1:4" x14ac:dyDescent="0.2">
      <c r="A19" s="19" t="s">
        <v>61</v>
      </c>
      <c r="B19" s="20">
        <v>63411075</v>
      </c>
      <c r="C19" s="20">
        <v>44300466.375</v>
      </c>
      <c r="D19" s="20">
        <v>87538264.507500008</v>
      </c>
    </row>
    <row r="20" spans="1:4" x14ac:dyDescent="0.2">
      <c r="A20" s="19" t="s">
        <v>62</v>
      </c>
      <c r="B20" s="20">
        <v>63411075</v>
      </c>
      <c r="C20" s="20">
        <v>44300466.375</v>
      </c>
      <c r="D20" s="20">
        <v>106648873.13250001</v>
      </c>
    </row>
    <row r="21" spans="1:4" x14ac:dyDescent="0.2">
      <c r="A21" s="19" t="s">
        <v>63</v>
      </c>
      <c r="B21" s="20">
        <v>63411075</v>
      </c>
      <c r="C21" s="20">
        <v>44300466.375</v>
      </c>
      <c r="D21" s="20">
        <v>125759481.75750001</v>
      </c>
    </row>
    <row r="22" spans="1:4" x14ac:dyDescent="0.2">
      <c r="A22" s="19" t="s">
        <v>64</v>
      </c>
      <c r="B22" s="20">
        <v>63411075</v>
      </c>
      <c r="C22" s="20">
        <v>44300466.375</v>
      </c>
      <c r="D22" s="20">
        <v>144870090.38249999</v>
      </c>
    </row>
    <row r="23" spans="1:4" x14ac:dyDescent="0.2">
      <c r="A23" s="18" t="s">
        <v>59</v>
      </c>
      <c r="B23" s="20">
        <v>586656477</v>
      </c>
      <c r="C23" s="20">
        <v>441786386.61750001</v>
      </c>
      <c r="D23" s="20">
        <v>600315343.71000004</v>
      </c>
    </row>
  </sheetData>
  <mergeCells count="1">
    <mergeCell ref="A6:D6"/>
  </mergeCells>
  <pageMargins left="0.7" right="0.7" top="0.75" bottom="0.75" header="0.3" footer="0.3"/>
  <drawing r:id="rId2"/>
  <extLst>
    <ext xmlns:x15="http://schemas.microsoft.com/office/spreadsheetml/2010/11/main" uri="{7E03D99C-DC04-49d9-9315-930204A7B6E9}">
      <x15:timelineRefs>
        <x15:timelineRef r:id="rId3"/>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D300EC-8AE3-4DED-9E71-3A3E29AA1E03}">
  <dimension ref="A1:H46"/>
  <sheetViews>
    <sheetView showGridLines="0" showRowColHeaders="0" tabSelected="1" workbookViewId="0">
      <selection activeCell="K4" sqref="K4"/>
    </sheetView>
  </sheetViews>
  <sheetFormatPr defaultRowHeight="12.75" x14ac:dyDescent="0.2"/>
  <cols>
    <col min="1" max="1" width="11.5" bestFit="1" customWidth="1"/>
    <col min="2" max="2" width="14.375" bestFit="1" customWidth="1"/>
    <col min="3" max="4" width="15.5" bestFit="1" customWidth="1"/>
    <col min="5" max="5" width="13.25" bestFit="1" customWidth="1"/>
    <col min="6" max="6" width="11.375" bestFit="1" customWidth="1"/>
    <col min="7" max="7" width="14.375" bestFit="1" customWidth="1"/>
    <col min="8" max="8" width="13.25" bestFit="1" customWidth="1"/>
  </cols>
  <sheetData>
    <row r="1" spans="1:1" ht="20.25" customHeight="1" x14ac:dyDescent="0.3">
      <c r="A1" s="22" t="s">
        <v>72</v>
      </c>
    </row>
    <row r="2" spans="1:1" ht="20.25" customHeight="1" thickBot="1" x14ac:dyDescent="0.35">
      <c r="A2" s="21" t="s">
        <v>8</v>
      </c>
    </row>
    <row r="3" spans="1:1" ht="20.25" customHeight="1" thickTop="1" x14ac:dyDescent="0.25">
      <c r="A3" s="24" t="s">
        <v>71</v>
      </c>
    </row>
    <row r="4" spans="1:1" ht="91.5" customHeight="1" x14ac:dyDescent="0.2"/>
    <row r="5" spans="1:1" ht="15" customHeight="1" x14ac:dyDescent="0.2"/>
    <row r="6" spans="1:1" ht="18" customHeight="1" x14ac:dyDescent="0.2"/>
    <row r="29" spans="1:8" ht="17.25" x14ac:dyDescent="0.2">
      <c r="A29" s="59" t="s">
        <v>69</v>
      </c>
      <c r="B29" s="59"/>
      <c r="C29" s="59"/>
      <c r="D29" s="59"/>
      <c r="E29" s="59"/>
      <c r="F29" s="59"/>
      <c r="G29" s="59"/>
      <c r="H29" s="59"/>
    </row>
    <row r="30" spans="1:8" x14ac:dyDescent="0.2">
      <c r="A30" s="17" t="s">
        <v>40</v>
      </c>
      <c r="B30" t="s">
        <v>75</v>
      </c>
      <c r="C30" t="s">
        <v>74</v>
      </c>
      <c r="D30" t="s">
        <v>79</v>
      </c>
      <c r="E30" t="s">
        <v>73</v>
      </c>
      <c r="F30" t="s">
        <v>76</v>
      </c>
      <c r="G30" t="s">
        <v>77</v>
      </c>
      <c r="H30" t="s">
        <v>78</v>
      </c>
    </row>
    <row r="31" spans="1:8" x14ac:dyDescent="0.2">
      <c r="A31" s="18" t="s">
        <v>60</v>
      </c>
      <c r="B31" s="20"/>
      <c r="C31" s="20"/>
      <c r="D31" s="20"/>
      <c r="E31" s="20"/>
      <c r="F31" s="20"/>
      <c r="G31" s="20"/>
      <c r="H31" s="20"/>
    </row>
    <row r="32" spans="1:8" x14ac:dyDescent="0.2">
      <c r="A32" s="19" t="s">
        <v>61</v>
      </c>
      <c r="B32" s="20">
        <v>21008400</v>
      </c>
      <c r="C32" s="20">
        <v>6442873.6724999994</v>
      </c>
      <c r="D32" s="20">
        <v>0</v>
      </c>
      <c r="E32" s="20">
        <v>650</v>
      </c>
      <c r="F32" s="20">
        <v>23100</v>
      </c>
      <c r="G32" s="20">
        <v>1399230</v>
      </c>
      <c r="H32" s="20">
        <v>45472</v>
      </c>
    </row>
    <row r="33" spans="1:8" x14ac:dyDescent="0.2">
      <c r="A33" s="19" t="s">
        <v>62</v>
      </c>
      <c r="B33" s="20">
        <v>4000</v>
      </c>
      <c r="C33" s="20">
        <v>12849747.344999999</v>
      </c>
      <c r="D33" s="20">
        <v>16902450</v>
      </c>
      <c r="E33" s="20">
        <v>483300</v>
      </c>
      <c r="F33" s="20">
        <v>15600</v>
      </c>
      <c r="G33" s="20">
        <v>1971198</v>
      </c>
      <c r="H33" s="20">
        <v>121917</v>
      </c>
    </row>
    <row r="34" spans="1:8" x14ac:dyDescent="0.2">
      <c r="A34" s="19" t="s">
        <v>63</v>
      </c>
      <c r="B34" s="20">
        <v>6000</v>
      </c>
      <c r="C34" s="20">
        <v>12849747.344999999</v>
      </c>
      <c r="D34" s="20">
        <v>16902450</v>
      </c>
      <c r="E34" s="20">
        <v>483300</v>
      </c>
      <c r="F34" s="20">
        <v>15600</v>
      </c>
      <c r="G34" s="20">
        <v>1971198</v>
      </c>
      <c r="H34" s="20">
        <v>121917</v>
      </c>
    </row>
    <row r="35" spans="1:8" x14ac:dyDescent="0.2">
      <c r="A35" s="19" t="s">
        <v>64</v>
      </c>
      <c r="B35" s="20">
        <v>6000</v>
      </c>
      <c r="C35" s="20">
        <v>12849747.344999999</v>
      </c>
      <c r="D35" s="20">
        <v>16902450</v>
      </c>
      <c r="E35" s="20">
        <v>483300</v>
      </c>
      <c r="F35" s="20">
        <v>15600</v>
      </c>
      <c r="G35" s="20">
        <v>1971198</v>
      </c>
      <c r="H35" s="20">
        <v>121917</v>
      </c>
    </row>
    <row r="36" spans="1:8" x14ac:dyDescent="0.2">
      <c r="A36" s="18" t="s">
        <v>65</v>
      </c>
      <c r="B36" s="20"/>
      <c r="C36" s="20"/>
      <c r="D36" s="20"/>
      <c r="E36" s="20"/>
      <c r="F36" s="20"/>
      <c r="G36" s="20"/>
      <c r="H36" s="20"/>
    </row>
    <row r="37" spans="1:8" x14ac:dyDescent="0.2">
      <c r="A37" s="19" t="s">
        <v>61</v>
      </c>
      <c r="B37" s="20">
        <v>6000</v>
      </c>
      <c r="C37" s="20">
        <v>12834357.344999999</v>
      </c>
      <c r="D37" s="20">
        <v>16902450</v>
      </c>
      <c r="E37" s="20">
        <v>474950</v>
      </c>
      <c r="F37" s="20">
        <v>31200</v>
      </c>
      <c r="G37" s="20">
        <v>1145553</v>
      </c>
      <c r="H37" s="20">
        <v>121917</v>
      </c>
    </row>
    <row r="38" spans="1:8" x14ac:dyDescent="0.2">
      <c r="A38" s="19" t="s">
        <v>62</v>
      </c>
      <c r="B38" s="20">
        <v>6000</v>
      </c>
      <c r="C38" s="20">
        <v>12834357.344999999</v>
      </c>
      <c r="D38" s="20">
        <v>16902450</v>
      </c>
      <c r="E38" s="20">
        <v>474300</v>
      </c>
      <c r="F38" s="20">
        <v>31200</v>
      </c>
      <c r="G38" s="20">
        <v>1145553</v>
      </c>
      <c r="H38" s="20">
        <v>121917</v>
      </c>
    </row>
    <row r="39" spans="1:8" x14ac:dyDescent="0.2">
      <c r="A39" s="19" t="s">
        <v>63</v>
      </c>
      <c r="B39" s="20">
        <v>6000</v>
      </c>
      <c r="C39" s="20">
        <v>12834357.344999999</v>
      </c>
      <c r="D39" s="20">
        <v>16902450</v>
      </c>
      <c r="E39" s="20">
        <v>474300</v>
      </c>
      <c r="F39" s="20">
        <v>31200</v>
      </c>
      <c r="G39" s="20">
        <v>1145553</v>
      </c>
      <c r="H39" s="20">
        <v>121917</v>
      </c>
    </row>
    <row r="40" spans="1:8" x14ac:dyDescent="0.2">
      <c r="A40" s="19" t="s">
        <v>64</v>
      </c>
      <c r="B40" s="20">
        <v>6000</v>
      </c>
      <c r="C40" s="20">
        <v>18108156.375</v>
      </c>
      <c r="D40" s="20">
        <v>23838750</v>
      </c>
      <c r="E40" s="20">
        <v>816600</v>
      </c>
      <c r="F40" s="20">
        <v>31200</v>
      </c>
      <c r="G40" s="20">
        <v>1145553</v>
      </c>
      <c r="H40" s="20">
        <v>121917</v>
      </c>
    </row>
    <row r="41" spans="1:8" x14ac:dyDescent="0.2">
      <c r="A41" s="18" t="s">
        <v>66</v>
      </c>
      <c r="B41" s="20"/>
      <c r="C41" s="20"/>
      <c r="D41" s="20"/>
      <c r="E41" s="20"/>
      <c r="F41" s="20"/>
      <c r="G41" s="20"/>
      <c r="H41" s="20"/>
    </row>
    <row r="42" spans="1:8" x14ac:dyDescent="0.2">
      <c r="A42" s="19" t="s">
        <v>61</v>
      </c>
      <c r="B42" s="20">
        <v>6000</v>
      </c>
      <c r="C42" s="20">
        <v>18108156.375</v>
      </c>
      <c r="D42" s="20">
        <v>23838750</v>
      </c>
      <c r="E42" s="20">
        <v>816600</v>
      </c>
      <c r="F42" s="20">
        <v>31200</v>
      </c>
      <c r="G42" s="20">
        <v>1274508</v>
      </c>
      <c r="H42" s="20">
        <v>225252</v>
      </c>
    </row>
    <row r="43" spans="1:8" x14ac:dyDescent="0.2">
      <c r="A43" s="19" t="s">
        <v>62</v>
      </c>
      <c r="B43" s="20">
        <v>6000</v>
      </c>
      <c r="C43" s="20">
        <v>18108156.375</v>
      </c>
      <c r="D43" s="20">
        <v>23838750</v>
      </c>
      <c r="E43" s="20">
        <v>816600</v>
      </c>
      <c r="F43" s="20">
        <v>31200</v>
      </c>
      <c r="G43" s="20">
        <v>1274508</v>
      </c>
      <c r="H43" s="20">
        <v>225252</v>
      </c>
    </row>
    <row r="44" spans="1:8" x14ac:dyDescent="0.2">
      <c r="A44" s="19" t="s">
        <v>63</v>
      </c>
      <c r="B44" s="20">
        <v>6000</v>
      </c>
      <c r="C44" s="20">
        <v>18108156.375</v>
      </c>
      <c r="D44" s="20">
        <v>23838750</v>
      </c>
      <c r="E44" s="20">
        <v>816600</v>
      </c>
      <c r="F44" s="20">
        <v>31200</v>
      </c>
      <c r="G44" s="20">
        <v>1274508</v>
      </c>
      <c r="H44" s="20">
        <v>225252</v>
      </c>
    </row>
    <row r="45" spans="1:8" x14ac:dyDescent="0.2">
      <c r="A45" s="19" t="s">
        <v>64</v>
      </c>
      <c r="B45" s="20">
        <v>6000</v>
      </c>
      <c r="C45" s="20">
        <v>18108156.375</v>
      </c>
      <c r="D45" s="20">
        <v>23838750</v>
      </c>
      <c r="E45" s="20">
        <v>816600</v>
      </c>
      <c r="F45" s="20">
        <v>31200</v>
      </c>
      <c r="G45" s="20">
        <v>1274508</v>
      </c>
      <c r="H45" s="20">
        <v>225252</v>
      </c>
    </row>
    <row r="46" spans="1:8" x14ac:dyDescent="0.2">
      <c r="A46" s="18" t="s">
        <v>59</v>
      </c>
      <c r="B46" s="20">
        <v>21072400</v>
      </c>
      <c r="C46" s="20">
        <v>174035969.61750001</v>
      </c>
      <c r="D46" s="20">
        <v>220608450</v>
      </c>
      <c r="E46" s="20">
        <v>6957100</v>
      </c>
      <c r="F46" s="20">
        <v>319500</v>
      </c>
      <c r="G46" s="20">
        <v>16993068</v>
      </c>
      <c r="H46" s="20">
        <v>1799899</v>
      </c>
    </row>
  </sheetData>
  <mergeCells count="1">
    <mergeCell ref="A29:H29"/>
  </mergeCells>
  <pageMargins left="0.7" right="0.7" top="0.75" bottom="0.75" header="0.3" footer="0.3"/>
  <drawing r:id="rId2"/>
  <extLst>
    <ext xmlns:x15="http://schemas.microsoft.com/office/spreadsheetml/2010/11/main" uri="{7E03D99C-DC04-49d9-9315-930204A7B6E9}">
      <x15:timelineRefs>
        <x15:timelineRef r:id="rId3"/>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8BAD19-611A-4886-AD2F-E6EB8D83813B}">
  <dimension ref="A1:L31"/>
  <sheetViews>
    <sheetView showGridLines="0" showRowColHeaders="0" workbookViewId="0">
      <selection activeCell="M10" sqref="M10"/>
    </sheetView>
  </sheetViews>
  <sheetFormatPr defaultRowHeight="12.75" x14ac:dyDescent="0.2"/>
  <cols>
    <col min="1" max="1" width="19.625" customWidth="1"/>
    <col min="2" max="2" width="17.375" customWidth="1"/>
    <col min="11" max="11" width="15.75" customWidth="1"/>
    <col min="12" max="12" width="15.25" customWidth="1"/>
  </cols>
  <sheetData>
    <row r="1" spans="1:12" ht="22.5" x14ac:dyDescent="0.3">
      <c r="A1" s="22" t="s">
        <v>80</v>
      </c>
    </row>
    <row r="2" spans="1:12" ht="18" thickBot="1" x14ac:dyDescent="0.35">
      <c r="A2" s="21" t="s">
        <v>8</v>
      </c>
    </row>
    <row r="3" spans="1:12" ht="15.75" thickTop="1" x14ac:dyDescent="0.25">
      <c r="A3" s="24" t="s">
        <v>71</v>
      </c>
    </row>
    <row r="4" spans="1:12" ht="13.5" thickBot="1" x14ac:dyDescent="0.25"/>
    <row r="5" spans="1:12" ht="18" thickBot="1" x14ac:dyDescent="0.35">
      <c r="A5" s="60" t="s">
        <v>101</v>
      </c>
      <c r="B5" s="61"/>
      <c r="K5" s="60" t="s">
        <v>93</v>
      </c>
      <c r="L5" s="61"/>
    </row>
    <row r="6" spans="1:12" ht="16.5" thickTop="1" thickBot="1" x14ac:dyDescent="0.3">
      <c r="A6" s="27" t="s">
        <v>84</v>
      </c>
      <c r="B6" s="28">
        <v>399</v>
      </c>
      <c r="K6" s="37" t="s">
        <v>96</v>
      </c>
      <c r="L6" s="39">
        <f>B17/B8</f>
        <v>284067.05037205346</v>
      </c>
    </row>
    <row r="7" spans="1:12" ht="16.5" thickTop="1" thickBot="1" x14ac:dyDescent="0.3">
      <c r="A7" s="27" t="s">
        <v>94</v>
      </c>
      <c r="B7" s="29">
        <f>B26/B29</f>
        <v>276.87557566228401</v>
      </c>
      <c r="K7" s="37" t="s">
        <v>9</v>
      </c>
      <c r="L7" s="40">
        <f>L6*B6</f>
        <v>113342753.09844933</v>
      </c>
    </row>
    <row r="8" spans="1:12" ht="16.5" thickTop="1" thickBot="1" x14ac:dyDescent="0.3">
      <c r="A8" s="30" t="s">
        <v>95</v>
      </c>
      <c r="B8" s="31">
        <f>B6-B7</f>
        <v>122.12442433771599</v>
      </c>
      <c r="K8" s="38" t="s">
        <v>97</v>
      </c>
      <c r="L8" s="41">
        <f>L6/B30</f>
        <v>6.9552442894859166</v>
      </c>
    </row>
    <row r="9" spans="1:12" ht="16.5" thickTop="1" thickBot="1" x14ac:dyDescent="0.3">
      <c r="K9" s="38" t="s">
        <v>102</v>
      </c>
      <c r="L9" s="42">
        <f>DATE(2018,6+ROUNDDOWN(L8,0),30+MOD(L8,30)+1)</f>
        <v>42009</v>
      </c>
    </row>
    <row r="10" spans="1:12" ht="18" thickBot="1" x14ac:dyDescent="0.35">
      <c r="A10" s="60" t="s">
        <v>81</v>
      </c>
      <c r="B10" s="61"/>
    </row>
    <row r="11" spans="1:12" ht="16.5" thickTop="1" thickBot="1" x14ac:dyDescent="0.3">
      <c r="A11" s="64" t="s">
        <v>82</v>
      </c>
      <c r="B11" s="65"/>
    </row>
    <row r="12" spans="1:12" ht="16.5" thickTop="1" thickBot="1" x14ac:dyDescent="0.3">
      <c r="A12" s="27" t="s">
        <v>12</v>
      </c>
      <c r="B12" s="32">
        <f>SUM(AllYears[Legal Fees])</f>
        <v>432000</v>
      </c>
    </row>
    <row r="13" spans="1:12" ht="16.5" thickTop="1" thickBot="1" x14ac:dyDescent="0.3">
      <c r="A13" s="27" t="s">
        <v>85</v>
      </c>
      <c r="B13" s="32">
        <f>SUM(AllYears[Training Costs - existing employees])</f>
        <v>12662025</v>
      </c>
    </row>
    <row r="14" spans="1:12" ht="16.5" thickTop="1" thickBot="1" x14ac:dyDescent="0.3">
      <c r="A14" s="27" t="s">
        <v>86</v>
      </c>
      <c r="B14" s="32">
        <f>SUM(AllYears[Space for Customer Support Team/Rent],AllYears[Utilities for Customer Support Space])</f>
        <v>205600</v>
      </c>
    </row>
    <row r="15" spans="1:12" ht="16.5" thickTop="1" thickBot="1" x14ac:dyDescent="0.3">
      <c r="A15" s="27" t="s">
        <v>19</v>
      </c>
      <c r="B15" s="32">
        <f>SUM(AllYears[Sum Development Expense])</f>
        <v>21072400</v>
      </c>
    </row>
    <row r="16" spans="1:12" ht="16.5" thickTop="1" thickBot="1" x14ac:dyDescent="0.3">
      <c r="A16" s="27" t="s">
        <v>87</v>
      </c>
      <c r="B16" s="32">
        <f>SUM(AllYears[Sum Website Expense])</f>
        <v>319500</v>
      </c>
    </row>
    <row r="17" spans="1:2" ht="16.5" thickTop="1" thickBot="1" x14ac:dyDescent="0.3">
      <c r="A17" s="33" t="s">
        <v>58</v>
      </c>
      <c r="B17" s="34">
        <f>SUM(B12:B16)</f>
        <v>34691525</v>
      </c>
    </row>
    <row r="18" spans="1:2" ht="16.5" thickTop="1" thickBot="1" x14ac:dyDescent="0.3">
      <c r="A18" s="66"/>
      <c r="B18" s="67"/>
    </row>
    <row r="19" spans="1:2" ht="16.5" thickTop="1" thickBot="1" x14ac:dyDescent="0.3">
      <c r="A19" s="64" t="s">
        <v>83</v>
      </c>
      <c r="B19" s="65"/>
    </row>
    <row r="20" spans="1:2" ht="16.5" thickTop="1" thickBot="1" x14ac:dyDescent="0.3">
      <c r="A20" s="27" t="s">
        <v>88</v>
      </c>
      <c r="B20" s="32">
        <f>SUM(AllYears[Wholesale expense to hearing aid company])</f>
        <v>220608450</v>
      </c>
    </row>
    <row r="21" spans="1:2" ht="16.5" thickTop="1" thickBot="1" x14ac:dyDescent="0.3">
      <c r="A21" s="27" t="s">
        <v>89</v>
      </c>
      <c r="B21" s="32">
        <f>SUM(AllYears[General Selling/Admin Cost])</f>
        <v>173603969.61750001</v>
      </c>
    </row>
    <row r="22" spans="1:2" ht="16.5" thickTop="1" thickBot="1" x14ac:dyDescent="0.3">
      <c r="A22" s="27" t="s">
        <v>73</v>
      </c>
      <c r="B22" s="32">
        <f>SUM(AllYears[Sum Marketing Expense])</f>
        <v>6957100</v>
      </c>
    </row>
    <row r="23" spans="1:2" ht="16.5" thickTop="1" thickBot="1" x14ac:dyDescent="0.3">
      <c r="A23" s="27" t="s">
        <v>91</v>
      </c>
      <c r="B23" s="32">
        <f>SUM(AllYears[Other - New Employee Benefits])</f>
        <v>852915</v>
      </c>
    </row>
    <row r="24" spans="1:2" ht="16.5" thickTop="1" thickBot="1" x14ac:dyDescent="0.3">
      <c r="A24" s="27" t="s">
        <v>90</v>
      </c>
      <c r="B24" s="32">
        <f>SUM(AllYears[Recruitment costs - new salaries])</f>
        <v>3478128</v>
      </c>
    </row>
    <row r="25" spans="1:2" ht="16.5" thickTop="1" thickBot="1" x14ac:dyDescent="0.3">
      <c r="A25" s="27" t="s">
        <v>92</v>
      </c>
      <c r="B25" s="32">
        <f>SUM(AllYears[Inventory Holding Cost - warehouse],AllYears[Inventory Holding Cost - store])</f>
        <v>1594299</v>
      </c>
    </row>
    <row r="26" spans="1:2" ht="16.5" thickTop="1" thickBot="1" x14ac:dyDescent="0.3">
      <c r="A26" s="35" t="s">
        <v>58</v>
      </c>
      <c r="B26" s="36">
        <f>SUM(B20:B25)</f>
        <v>407094861.61750001</v>
      </c>
    </row>
    <row r="27" spans="1:2" ht="16.5" thickTop="1" thickBot="1" x14ac:dyDescent="0.3">
      <c r="A27" s="62"/>
      <c r="B27" s="62"/>
    </row>
    <row r="28" spans="1:2" ht="16.5" thickTop="1" thickBot="1" x14ac:dyDescent="0.3">
      <c r="A28" s="63" t="s">
        <v>98</v>
      </c>
      <c r="B28" s="63"/>
    </row>
    <row r="29" spans="1:2" ht="16.5" thickTop="1" thickBot="1" x14ac:dyDescent="0.3">
      <c r="A29" s="26" t="s">
        <v>99</v>
      </c>
      <c r="B29" s="25">
        <f>SUM(AllYears[Sale of goods/services])/B6</f>
        <v>1470316.9849624061</v>
      </c>
    </row>
    <row r="30" spans="1:2" ht="16.5" thickTop="1" thickBot="1" x14ac:dyDescent="0.3">
      <c r="A30" s="26" t="s">
        <v>100</v>
      </c>
      <c r="B30" s="25">
        <f>B29/36</f>
        <v>40842.138471177946</v>
      </c>
    </row>
    <row r="31" spans="1:2" ht="13.5" thickTop="1" x14ac:dyDescent="0.2"/>
  </sheetData>
  <mergeCells count="8">
    <mergeCell ref="K5:L5"/>
    <mergeCell ref="A27:B27"/>
    <mergeCell ref="A28:B28"/>
    <mergeCell ref="A5:B5"/>
    <mergeCell ref="A10:B10"/>
    <mergeCell ref="A11:B11"/>
    <mergeCell ref="A19:B19"/>
    <mergeCell ref="A18:B18"/>
  </mergeCells>
  <conditionalFormatting sqref="B8">
    <cfRule type="colorScale" priority="4">
      <colorScale>
        <cfvo type="num" val="0"/>
        <cfvo type="num" val="$B$6/2"/>
        <color rgb="FFFF0000"/>
        <color rgb="FF00B050"/>
      </colorScale>
    </cfRule>
    <cfRule type="colorScale" priority="5">
      <colorScale>
        <cfvo type="num" val="0"/>
        <cfvo type="num" val="$B$6/2"/>
        <color rgb="FFFF0000"/>
        <color rgb="FFFFEF9C"/>
      </colorScale>
    </cfRule>
    <cfRule type="colorScale" priority="6">
      <colorScale>
        <cfvo type="num" val="0"/>
        <cfvo type="num" val="$B$6"/>
        <color rgb="FFFF0000"/>
        <color rgb="FF00B050"/>
      </colorScale>
    </cfRule>
    <cfRule type="colorScale" priority="7">
      <colorScale>
        <cfvo type="percent" val="0"/>
        <cfvo type="percent" val="100"/>
        <color rgb="FFFF0000"/>
        <color rgb="FF00B050"/>
      </colorScale>
    </cfRule>
  </conditionalFormatting>
  <conditionalFormatting sqref="B29">
    <cfRule type="expression" priority="1">
      <formula>$B$8&lt;=0</formula>
    </cfRule>
  </conditionalFormatting>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2405D9-3E69-4587-A95E-D358814C8209}">
  <dimension ref="A1:AK23"/>
  <sheetViews>
    <sheetView showGridLines="0" showRowColHeaders="0" workbookViewId="0">
      <selection activeCell="D5" sqref="D5:F5"/>
    </sheetView>
  </sheetViews>
  <sheetFormatPr defaultRowHeight="12.75" outlineLevelCol="1" x14ac:dyDescent="0.2"/>
  <cols>
    <col min="1" max="1" width="12.625" customWidth="1"/>
    <col min="2" max="2" width="17.5" hidden="1" customWidth="1" outlineLevel="1"/>
    <col min="3" max="3" width="17.5" customWidth="1" collapsed="1"/>
    <col min="4" max="5" width="16.375" hidden="1" customWidth="1" outlineLevel="1"/>
    <col min="6" max="6" width="16.375" customWidth="1" collapsed="1"/>
    <col min="7" max="11" width="14.25" hidden="1" customWidth="1" outlineLevel="1"/>
    <col min="12" max="12" width="14.25" customWidth="1" collapsed="1"/>
    <col min="13" max="16" width="13.75" hidden="1" customWidth="1" outlineLevel="1"/>
    <col min="17" max="17" width="13.75" customWidth="1" collapsed="1"/>
    <col min="18" max="22" width="16.875" hidden="1" customWidth="1" outlineLevel="1"/>
    <col min="23" max="23" width="16.875" customWidth="1" collapsed="1"/>
    <col min="24" max="26" width="17.5" hidden="1" customWidth="1" outlineLevel="1"/>
    <col min="27" max="27" width="17.5" customWidth="1" collapsed="1"/>
    <col min="28" max="31" width="17.5" hidden="1" customWidth="1" outlineLevel="1"/>
    <col min="32" max="32" width="17.5" customWidth="1" collapsed="1"/>
    <col min="33" max="33" width="17.5" hidden="1" customWidth="1" outlineLevel="1"/>
    <col min="34" max="34" width="17.5" customWidth="1" collapsed="1"/>
    <col min="35" max="37" width="15.75" customWidth="1"/>
  </cols>
  <sheetData>
    <row r="1" spans="1:37" ht="23.25" thickBot="1" x14ac:dyDescent="0.35">
      <c r="A1" s="23" t="s">
        <v>7</v>
      </c>
    </row>
    <row r="2" spans="1:37" ht="18.75" thickTop="1" thickBot="1" x14ac:dyDescent="0.25">
      <c r="A2" s="1" t="s">
        <v>8</v>
      </c>
    </row>
    <row r="3" spans="1:37" ht="15.75" thickTop="1" x14ac:dyDescent="0.25">
      <c r="A3" s="24" t="s">
        <v>68</v>
      </c>
    </row>
    <row r="4" spans="1:37" ht="13.5" thickBot="1" x14ac:dyDescent="0.25"/>
    <row r="5" spans="1:37" s="10" customFormat="1" ht="56.25" customHeight="1" x14ac:dyDescent="0.2">
      <c r="A5" s="46"/>
      <c r="B5" s="68" t="s">
        <v>9</v>
      </c>
      <c r="C5" s="69"/>
      <c r="D5" s="68" t="s">
        <v>42</v>
      </c>
      <c r="E5" s="70"/>
      <c r="F5" s="69"/>
      <c r="G5" s="68" t="s">
        <v>41</v>
      </c>
      <c r="H5" s="70"/>
      <c r="I5" s="70"/>
      <c r="J5" s="70"/>
      <c r="K5" s="70"/>
      <c r="L5" s="69"/>
      <c r="M5" s="68" t="s">
        <v>43</v>
      </c>
      <c r="N5" s="70"/>
      <c r="O5" s="70"/>
      <c r="P5" s="70"/>
      <c r="Q5" s="69"/>
      <c r="R5" s="68" t="s">
        <v>24</v>
      </c>
      <c r="S5" s="70"/>
      <c r="T5" s="70"/>
      <c r="U5" s="70"/>
      <c r="V5" s="70"/>
      <c r="W5" s="69"/>
      <c r="X5" s="68" t="s">
        <v>29</v>
      </c>
      <c r="Y5" s="70"/>
      <c r="Z5" s="70"/>
      <c r="AA5" s="69"/>
      <c r="AB5" s="68" t="s">
        <v>33</v>
      </c>
      <c r="AC5" s="70"/>
      <c r="AD5" s="70"/>
      <c r="AE5" s="70"/>
      <c r="AF5" s="69"/>
      <c r="AG5" s="68" t="s">
        <v>48</v>
      </c>
      <c r="AH5" s="69"/>
      <c r="AI5" s="68" t="s">
        <v>45</v>
      </c>
      <c r="AJ5" s="70"/>
      <c r="AK5" s="69"/>
    </row>
    <row r="6" spans="1:37" ht="56.25" customHeight="1" x14ac:dyDescent="0.2">
      <c r="A6" s="47" t="s">
        <v>46</v>
      </c>
      <c r="B6" s="13" t="s">
        <v>10</v>
      </c>
      <c r="C6" s="14" t="s">
        <v>55</v>
      </c>
      <c r="D6" s="13" t="s">
        <v>12</v>
      </c>
      <c r="E6" s="11" t="s">
        <v>13</v>
      </c>
      <c r="F6" s="14" t="s">
        <v>56</v>
      </c>
      <c r="G6" s="13" t="s">
        <v>14</v>
      </c>
      <c r="H6" s="11" t="s">
        <v>15</v>
      </c>
      <c r="I6" s="11" t="s">
        <v>16</v>
      </c>
      <c r="J6" s="11" t="s">
        <v>17</v>
      </c>
      <c r="K6" s="11" t="s">
        <v>18</v>
      </c>
      <c r="L6" s="14" t="s">
        <v>54</v>
      </c>
      <c r="M6" s="13" t="s">
        <v>20</v>
      </c>
      <c r="N6" s="11" t="s">
        <v>21</v>
      </c>
      <c r="O6" s="11" t="s">
        <v>22</v>
      </c>
      <c r="P6" s="11" t="s">
        <v>23</v>
      </c>
      <c r="Q6" s="14" t="s">
        <v>53</v>
      </c>
      <c r="R6" s="13" t="s">
        <v>44</v>
      </c>
      <c r="S6" s="11" t="s">
        <v>25</v>
      </c>
      <c r="T6" s="11" t="s">
        <v>26</v>
      </c>
      <c r="U6" s="11" t="s">
        <v>27</v>
      </c>
      <c r="V6" s="9" t="s">
        <v>28</v>
      </c>
      <c r="W6" s="14" t="s">
        <v>52</v>
      </c>
      <c r="X6" s="13" t="s">
        <v>30</v>
      </c>
      <c r="Y6" s="11" t="s">
        <v>31</v>
      </c>
      <c r="Z6" s="11" t="s">
        <v>32</v>
      </c>
      <c r="AA6" s="14" t="s">
        <v>51</v>
      </c>
      <c r="AB6" s="13" t="s">
        <v>34</v>
      </c>
      <c r="AC6" s="11" t="s">
        <v>35</v>
      </c>
      <c r="AD6" s="11" t="s">
        <v>36</v>
      </c>
      <c r="AE6" s="11" t="s">
        <v>37</v>
      </c>
      <c r="AF6" s="14" t="s">
        <v>50</v>
      </c>
      <c r="AG6" s="13" t="s">
        <v>38</v>
      </c>
      <c r="AH6" s="14" t="s">
        <v>49</v>
      </c>
      <c r="AI6" s="15" t="s">
        <v>39</v>
      </c>
      <c r="AJ6" s="12" t="s">
        <v>47</v>
      </c>
      <c r="AK6" s="16" t="s">
        <v>57</v>
      </c>
    </row>
    <row r="7" spans="1:37" ht="18.75" customHeight="1" x14ac:dyDescent="0.25">
      <c r="A7" s="48">
        <v>41728</v>
      </c>
      <c r="B7" s="6">
        <v>0</v>
      </c>
      <c r="C7" s="40">
        <f>SUM(AllYears[[#This Row],[Sale of goods/services]])</f>
        <v>0</v>
      </c>
      <c r="D7" s="6">
        <v>36000</v>
      </c>
      <c r="E7" s="5">
        <v>6406873.6724999994</v>
      </c>
      <c r="F7" s="40">
        <f>SUM(AllYears[[#This Row],[Legal Fees]:[General Selling/Admin Cost]])</f>
        <v>6442873.6724999994</v>
      </c>
      <c r="G7" s="6">
        <v>650</v>
      </c>
      <c r="H7" s="5">
        <v>0</v>
      </c>
      <c r="I7" s="5">
        <v>0</v>
      </c>
      <c r="J7" s="5">
        <v>0</v>
      </c>
      <c r="K7" s="5">
        <v>0</v>
      </c>
      <c r="L7" s="40">
        <f>SUM(AllYears[[#This Row],[Radio Ads]:[Magazine]])</f>
        <v>650</v>
      </c>
      <c r="M7" s="6">
        <v>8400</v>
      </c>
      <c r="N7" s="5">
        <v>0</v>
      </c>
      <c r="O7" s="5">
        <v>16800000</v>
      </c>
      <c r="P7" s="5">
        <v>4200000</v>
      </c>
      <c r="Q7" s="40">
        <f>SUM(AllYears[[#This Row],[HEAR App Development]:[Market Testing]])</f>
        <v>21008400</v>
      </c>
      <c r="R7" s="6">
        <v>7500</v>
      </c>
      <c r="S7" s="5">
        <v>3000</v>
      </c>
      <c r="T7" s="5">
        <v>1500</v>
      </c>
      <c r="U7" s="5">
        <v>3000</v>
      </c>
      <c r="V7" s="5">
        <v>8100</v>
      </c>
      <c r="W7" s="40">
        <f>SUM(AllYears[[#This Row],[Development / coding mobile and e-commerce]:[Content Management Systems]])</f>
        <v>23100</v>
      </c>
      <c r="X7" s="6">
        <v>1100982</v>
      </c>
      <c r="Y7" s="5">
        <v>42954</v>
      </c>
      <c r="Z7" s="5">
        <v>255294</v>
      </c>
      <c r="AA7" s="40">
        <f>SUM(AllYears[[#This Row],[Training Costs - existing employees]:[Recruitment costs - new salaries]])</f>
        <v>1399230</v>
      </c>
      <c r="AB7" s="6">
        <v>9666</v>
      </c>
      <c r="AC7" s="5">
        <v>30666</v>
      </c>
      <c r="AD7" s="5">
        <v>4600</v>
      </c>
      <c r="AE7" s="5">
        <v>540</v>
      </c>
      <c r="AF7" s="40">
        <f>SUM(AllYears[[#This Row],[Inventory Holding Cost - warehouse]:[Utilities for Customer Support Space]])</f>
        <v>45472</v>
      </c>
      <c r="AG7" s="6">
        <v>0</v>
      </c>
      <c r="AH7" s="40">
        <f>SUM(AllYears[[#This Row],[Wholesale expense to hearing aid company]])</f>
        <v>0</v>
      </c>
      <c r="AI7" s="50">
        <f>SUM(AllYears[[#This Row],[Sum General Expense]],AllYears[[#This Row],[Sum Marketing Expense]],AllYears[[#This Row],[Sum Development Expense]],AllYears[[#This Row],[Sum Website Expense]],AllYears[[#This Row],[Sum Employee Expense]],AllYears[[#This Row],[Sum Occupancy Expense]],AllYears[[#This Row],[Sum Misc Expense]])</f>
        <v>28919725.672499999</v>
      </c>
      <c r="AJ7" s="43">
        <f>AllYears[[#This Row],[Sum Sales]]-AllYears[[#This Row],[Total Expenses]]</f>
        <v>-28919725.672499999</v>
      </c>
      <c r="AK7" s="40">
        <f>SUM(AJ7)</f>
        <v>-28919725.672499999</v>
      </c>
    </row>
    <row r="8" spans="1:37" ht="18.75" customHeight="1" x14ac:dyDescent="0.25">
      <c r="A8" s="48">
        <v>41819</v>
      </c>
      <c r="B8" s="6">
        <v>44960517</v>
      </c>
      <c r="C8" s="40">
        <f>SUM(AllYears[[#This Row],[Sale of goods/services]])</f>
        <v>44960517</v>
      </c>
      <c r="D8" s="6">
        <v>36000</v>
      </c>
      <c r="E8" s="5">
        <v>12813747.344999999</v>
      </c>
      <c r="F8" s="40">
        <f>SUM(AllYears[[#This Row],[Legal Fees]:[General Selling/Admin Cost]])</f>
        <v>12849747.344999999</v>
      </c>
      <c r="G8" s="6">
        <v>12000</v>
      </c>
      <c r="H8" s="5">
        <v>208800</v>
      </c>
      <c r="I8" s="5">
        <v>13500</v>
      </c>
      <c r="J8" s="5">
        <v>99000</v>
      </c>
      <c r="K8" s="5">
        <v>150000</v>
      </c>
      <c r="L8" s="40">
        <f>SUM(AllYears[[#This Row],[Radio Ads]:[Magazine]])</f>
        <v>483300</v>
      </c>
      <c r="M8" s="6">
        <v>0</v>
      </c>
      <c r="N8" s="5">
        <v>4000</v>
      </c>
      <c r="O8" s="5">
        <v>0</v>
      </c>
      <c r="P8" s="5">
        <v>0</v>
      </c>
      <c r="Q8" s="40">
        <f>SUM(AllYears[[#This Row],[HEAR App Development]:[Market Testing]])</f>
        <v>4000</v>
      </c>
      <c r="R8" s="6">
        <v>0</v>
      </c>
      <c r="S8" s="5">
        <v>3000</v>
      </c>
      <c r="T8" s="5">
        <v>1500</v>
      </c>
      <c r="U8" s="5">
        <v>3000</v>
      </c>
      <c r="V8" s="5">
        <v>8100</v>
      </c>
      <c r="W8" s="40">
        <f>SUM(AllYears[[#This Row],[Development / coding mobile and e-commerce]:[Content Management Systems]])</f>
        <v>15600</v>
      </c>
      <c r="X8" s="6">
        <v>1651473</v>
      </c>
      <c r="Y8" s="5">
        <v>64431</v>
      </c>
      <c r="Z8" s="5">
        <v>255294</v>
      </c>
      <c r="AA8" s="40">
        <f>SUM(AllYears[[#This Row],[Training Costs - existing employees]:[Recruitment costs - new salaries]])</f>
        <v>1971198</v>
      </c>
      <c r="AB8" s="6">
        <v>14499</v>
      </c>
      <c r="AC8" s="5">
        <v>91998</v>
      </c>
      <c r="AD8" s="5">
        <v>13800</v>
      </c>
      <c r="AE8" s="5">
        <v>1620</v>
      </c>
      <c r="AF8" s="40">
        <f>SUM(AllYears[[#This Row],[Inventory Holding Cost - warehouse]:[Utilities for Customer Support Space]])</f>
        <v>121917</v>
      </c>
      <c r="AG8" s="6">
        <v>16902450</v>
      </c>
      <c r="AH8" s="40">
        <f>SUM(AllYears[[#This Row],[Wholesale expense to hearing aid company]])</f>
        <v>16902450</v>
      </c>
      <c r="AI8" s="50">
        <f>SUM(AllYears[[#This Row],[Sum General Expense]],AllYears[[#This Row],[Sum Marketing Expense]],AllYears[[#This Row],[Sum Development Expense]],AllYears[[#This Row],[Sum Website Expense]],AllYears[[#This Row],[Sum Employee Expense]],AllYears[[#This Row],[Sum Occupancy Expense]],AllYears[[#This Row],[Sum Misc Expense]])</f>
        <v>32348212.344999999</v>
      </c>
      <c r="AJ8" s="43">
        <f>AllYears[[#This Row],[Sum Sales]]-AllYears[[#This Row],[Total Expenses]]</f>
        <v>12612304.655000001</v>
      </c>
      <c r="AK8" s="40">
        <f>SUM(AJ7:AJ8)</f>
        <v>-16307421.017499998</v>
      </c>
    </row>
    <row r="9" spans="1:37" ht="18.75" customHeight="1" x14ac:dyDescent="0.25">
      <c r="A9" s="48">
        <v>41911</v>
      </c>
      <c r="B9" s="6">
        <v>44960517</v>
      </c>
      <c r="C9" s="40">
        <f>SUM(AllYears[[#This Row],[Sale of goods/services]])</f>
        <v>44960517</v>
      </c>
      <c r="D9" s="6">
        <v>36000</v>
      </c>
      <c r="E9" s="5">
        <v>12813747.344999999</v>
      </c>
      <c r="F9" s="40">
        <f>SUM(AllYears[[#This Row],[Legal Fees]:[General Selling/Admin Cost]])</f>
        <v>12849747.344999999</v>
      </c>
      <c r="G9" s="6">
        <v>12000</v>
      </c>
      <c r="H9" s="5">
        <v>208800</v>
      </c>
      <c r="I9" s="5">
        <v>13500</v>
      </c>
      <c r="J9" s="5">
        <v>99000</v>
      </c>
      <c r="K9" s="5">
        <v>150000</v>
      </c>
      <c r="L9" s="40">
        <f>SUM(AllYears[[#This Row],[Radio Ads]:[Magazine]])</f>
        <v>483300</v>
      </c>
      <c r="M9" s="6">
        <v>0</v>
      </c>
      <c r="N9" s="5">
        <v>6000</v>
      </c>
      <c r="O9" s="5">
        <v>0</v>
      </c>
      <c r="P9" s="5">
        <v>0</v>
      </c>
      <c r="Q9" s="40">
        <f>SUM(AllYears[[#This Row],[HEAR App Development]:[Market Testing]])</f>
        <v>6000</v>
      </c>
      <c r="R9" s="6">
        <v>0</v>
      </c>
      <c r="S9" s="5">
        <v>3000</v>
      </c>
      <c r="T9" s="5">
        <v>1500</v>
      </c>
      <c r="U9" s="5">
        <v>3000</v>
      </c>
      <c r="V9" s="5">
        <v>8100</v>
      </c>
      <c r="W9" s="40">
        <f>SUM(AllYears[[#This Row],[Development / coding mobile and e-commerce]:[Content Management Systems]])</f>
        <v>15600</v>
      </c>
      <c r="X9" s="6">
        <v>1651473</v>
      </c>
      <c r="Y9" s="5">
        <v>64431</v>
      </c>
      <c r="Z9" s="5">
        <v>255294</v>
      </c>
      <c r="AA9" s="40">
        <f>SUM(AllYears[[#This Row],[Training Costs - existing employees]:[Recruitment costs - new salaries]])</f>
        <v>1971198</v>
      </c>
      <c r="AB9" s="6">
        <v>14499</v>
      </c>
      <c r="AC9" s="5">
        <v>91998</v>
      </c>
      <c r="AD9" s="5">
        <v>13800</v>
      </c>
      <c r="AE9" s="5">
        <v>1620</v>
      </c>
      <c r="AF9" s="40">
        <f>SUM(AllYears[[#This Row],[Inventory Holding Cost - warehouse]:[Utilities for Customer Support Space]])</f>
        <v>121917</v>
      </c>
      <c r="AG9" s="6">
        <v>16902450</v>
      </c>
      <c r="AH9" s="40">
        <f>SUM(AllYears[[#This Row],[Wholesale expense to hearing aid company]])</f>
        <v>16902450</v>
      </c>
      <c r="AI9" s="50">
        <f>SUM(AllYears[[#This Row],[Sum General Expense]],AllYears[[#This Row],[Sum Marketing Expense]],AllYears[[#This Row],[Sum Development Expense]],AllYears[[#This Row],[Sum Website Expense]],AllYears[[#This Row],[Sum Employee Expense]],AllYears[[#This Row],[Sum Occupancy Expense]],AllYears[[#This Row],[Sum Misc Expense]])</f>
        <v>32350212.344999999</v>
      </c>
      <c r="AJ9" s="43">
        <f>AllYears[[#This Row],[Sum Sales]]-AllYears[[#This Row],[Total Expenses]]</f>
        <v>12610304.655000001</v>
      </c>
      <c r="AK9" s="40">
        <f>SUM(AJ7:AJ9)</f>
        <v>-3697116.362499997</v>
      </c>
    </row>
    <row r="10" spans="1:37" ht="18.75" customHeight="1" x14ac:dyDescent="0.25">
      <c r="A10" s="48">
        <v>42003</v>
      </c>
      <c r="B10" s="6">
        <v>44960517</v>
      </c>
      <c r="C10" s="40">
        <f>SUM(AllYears[[#This Row],[Sale of goods/services]])</f>
        <v>44960517</v>
      </c>
      <c r="D10" s="6">
        <v>36000</v>
      </c>
      <c r="E10" s="5">
        <v>12813747.344999999</v>
      </c>
      <c r="F10" s="40">
        <f>SUM(AllYears[[#This Row],[Legal Fees]:[General Selling/Admin Cost]])</f>
        <v>12849747.344999999</v>
      </c>
      <c r="G10" s="6">
        <v>12000</v>
      </c>
      <c r="H10" s="5">
        <v>208800</v>
      </c>
      <c r="I10" s="5">
        <v>13500</v>
      </c>
      <c r="J10" s="5">
        <v>99000</v>
      </c>
      <c r="K10" s="5">
        <v>150000</v>
      </c>
      <c r="L10" s="40">
        <f>SUM(AllYears[[#This Row],[Radio Ads]:[Magazine]])</f>
        <v>483300</v>
      </c>
      <c r="M10" s="6">
        <v>0</v>
      </c>
      <c r="N10" s="5">
        <v>6000</v>
      </c>
      <c r="O10" s="5">
        <v>0</v>
      </c>
      <c r="P10" s="5">
        <v>0</v>
      </c>
      <c r="Q10" s="40">
        <f>SUM(AllYears[[#This Row],[HEAR App Development]:[Market Testing]])</f>
        <v>6000</v>
      </c>
      <c r="R10" s="6">
        <v>0</v>
      </c>
      <c r="S10" s="5">
        <v>3000</v>
      </c>
      <c r="T10" s="5">
        <v>1500</v>
      </c>
      <c r="U10" s="5">
        <v>3000</v>
      </c>
      <c r="V10" s="5">
        <v>8100</v>
      </c>
      <c r="W10" s="40">
        <f>SUM(AllYears[[#This Row],[Development / coding mobile and e-commerce]:[Content Management Systems]])</f>
        <v>15600</v>
      </c>
      <c r="X10" s="6">
        <v>1651473</v>
      </c>
      <c r="Y10" s="5">
        <v>64431</v>
      </c>
      <c r="Z10" s="5">
        <v>255294</v>
      </c>
      <c r="AA10" s="40">
        <f>SUM(AllYears[[#This Row],[Training Costs - existing employees]:[Recruitment costs - new salaries]])</f>
        <v>1971198</v>
      </c>
      <c r="AB10" s="6">
        <v>14499</v>
      </c>
      <c r="AC10" s="5">
        <v>91998</v>
      </c>
      <c r="AD10" s="5">
        <v>13800</v>
      </c>
      <c r="AE10" s="5">
        <v>1620</v>
      </c>
      <c r="AF10" s="40">
        <f>SUM(AllYears[[#This Row],[Inventory Holding Cost - warehouse]:[Utilities for Customer Support Space]])</f>
        <v>121917</v>
      </c>
      <c r="AG10" s="6">
        <v>16902450</v>
      </c>
      <c r="AH10" s="40">
        <f>SUM(AllYears[[#This Row],[Wholesale expense to hearing aid company]])</f>
        <v>16902450</v>
      </c>
      <c r="AI10" s="50">
        <f>SUM(AllYears[[#This Row],[Sum General Expense]],AllYears[[#This Row],[Sum Marketing Expense]],AllYears[[#This Row],[Sum Development Expense]],AllYears[[#This Row],[Sum Website Expense]],AllYears[[#This Row],[Sum Employee Expense]],AllYears[[#This Row],[Sum Occupancy Expense]],AllYears[[#This Row],[Sum Misc Expense]])</f>
        <v>32350212.344999999</v>
      </c>
      <c r="AJ10" s="43">
        <f>AllYears[[#This Row],[Sum Sales]]-AllYears[[#This Row],[Total Expenses]]</f>
        <v>12610304.655000001</v>
      </c>
      <c r="AK10" s="40">
        <f>SUM(AJ7:AJ10)</f>
        <v>8913188.2925000042</v>
      </c>
    </row>
    <row r="11" spans="1:37" ht="18.75" customHeight="1" x14ac:dyDescent="0.25">
      <c r="A11" s="48">
        <v>42093</v>
      </c>
      <c r="B11" s="6">
        <v>44906517</v>
      </c>
      <c r="C11" s="40">
        <f>SUM(AllYears[[#This Row],[Sale of goods/services]])</f>
        <v>44906517</v>
      </c>
      <c r="D11" s="6">
        <v>36000</v>
      </c>
      <c r="E11" s="5">
        <v>12798357.344999999</v>
      </c>
      <c r="F11" s="40">
        <f>SUM(AllYears[[#This Row],[Legal Fees]:[General Selling/Admin Cost]])</f>
        <v>12834357.344999999</v>
      </c>
      <c r="G11" s="6">
        <v>12650</v>
      </c>
      <c r="H11" s="5">
        <v>208800</v>
      </c>
      <c r="I11" s="5">
        <v>13500</v>
      </c>
      <c r="J11" s="5">
        <v>90000</v>
      </c>
      <c r="K11" s="5">
        <v>150000</v>
      </c>
      <c r="L11" s="40">
        <f>SUM(AllYears[[#This Row],[Radio Ads]:[Magazine]])</f>
        <v>474950</v>
      </c>
      <c r="M11" s="6">
        <v>0</v>
      </c>
      <c r="N11" s="5">
        <v>6000</v>
      </c>
      <c r="O11" s="5">
        <v>0</v>
      </c>
      <c r="P11" s="5">
        <v>0</v>
      </c>
      <c r="Q11" s="40">
        <f>SUM(AllYears[[#This Row],[HEAR App Development]:[Market Testing]])</f>
        <v>6000</v>
      </c>
      <c r="R11" s="6">
        <v>3000</v>
      </c>
      <c r="S11" s="5">
        <v>1500</v>
      </c>
      <c r="T11" s="5">
        <v>3000</v>
      </c>
      <c r="U11" s="5">
        <v>8100</v>
      </c>
      <c r="V11" s="5">
        <v>15600</v>
      </c>
      <c r="W11" s="40">
        <f>SUM(AllYears[[#This Row],[Development / coding mobile and e-commerce]:[Content Management Systems]])</f>
        <v>31200</v>
      </c>
      <c r="X11" s="6">
        <v>825828</v>
      </c>
      <c r="Y11" s="5">
        <v>64431</v>
      </c>
      <c r="Z11" s="5">
        <v>255294</v>
      </c>
      <c r="AA11" s="40">
        <f>SUM(AllYears[[#This Row],[Training Costs - existing employees]:[Recruitment costs - new salaries]])</f>
        <v>1145553</v>
      </c>
      <c r="AB11" s="6">
        <v>14499</v>
      </c>
      <c r="AC11" s="5">
        <v>91998</v>
      </c>
      <c r="AD11" s="5">
        <v>13800</v>
      </c>
      <c r="AE11" s="5">
        <v>1620</v>
      </c>
      <c r="AF11" s="40">
        <f>SUM(AllYears[[#This Row],[Inventory Holding Cost - warehouse]:[Utilities for Customer Support Space]])</f>
        <v>121917</v>
      </c>
      <c r="AG11" s="6">
        <v>16902450</v>
      </c>
      <c r="AH11" s="40">
        <f>SUM(AllYears[[#This Row],[Wholesale expense to hearing aid company]])</f>
        <v>16902450</v>
      </c>
      <c r="AI11" s="50">
        <f>SUM(AllYears[[#This Row],[Sum General Expense]],AllYears[[#This Row],[Sum Marketing Expense]],AllYears[[#This Row],[Sum Development Expense]],AllYears[[#This Row],[Sum Website Expense]],AllYears[[#This Row],[Sum Employee Expense]],AllYears[[#This Row],[Sum Occupancy Expense]],AllYears[[#This Row],[Sum Misc Expense]])</f>
        <v>31516427.344999999</v>
      </c>
      <c r="AJ11" s="43">
        <f>AllYears[[#This Row],[Sum Sales]]-AllYears[[#This Row],[Total Expenses]]</f>
        <v>13390089.655000001</v>
      </c>
      <c r="AK11" s="40">
        <f>SUM(AJ7:AJ11)</f>
        <v>22303277.947500005</v>
      </c>
    </row>
    <row r="12" spans="1:37" ht="18.75" customHeight="1" x14ac:dyDescent="0.25">
      <c r="A12" s="48">
        <v>42184</v>
      </c>
      <c r="B12" s="6">
        <v>44906517</v>
      </c>
      <c r="C12" s="40">
        <f>SUM(AllYears[[#This Row],[Sale of goods/services]])</f>
        <v>44906517</v>
      </c>
      <c r="D12" s="6">
        <v>36000</v>
      </c>
      <c r="E12" s="5">
        <v>12798357.344999999</v>
      </c>
      <c r="F12" s="40">
        <f>SUM(AllYears[[#This Row],[Legal Fees]:[General Selling/Admin Cost]])</f>
        <v>12834357.344999999</v>
      </c>
      <c r="G12" s="6">
        <v>12000</v>
      </c>
      <c r="H12" s="5">
        <v>208800</v>
      </c>
      <c r="I12" s="5">
        <v>13500</v>
      </c>
      <c r="J12" s="5">
        <v>90000</v>
      </c>
      <c r="K12" s="5">
        <v>150000</v>
      </c>
      <c r="L12" s="40">
        <f>SUM(AllYears[[#This Row],[Radio Ads]:[Magazine]])</f>
        <v>474300</v>
      </c>
      <c r="M12" s="6">
        <v>0</v>
      </c>
      <c r="N12" s="5">
        <v>6000</v>
      </c>
      <c r="O12" s="5">
        <v>0</v>
      </c>
      <c r="P12" s="5">
        <v>0</v>
      </c>
      <c r="Q12" s="40">
        <f>SUM(AllYears[[#This Row],[HEAR App Development]:[Market Testing]])</f>
        <v>6000</v>
      </c>
      <c r="R12" s="6">
        <v>3000</v>
      </c>
      <c r="S12" s="5">
        <v>1500</v>
      </c>
      <c r="T12" s="5">
        <v>3000</v>
      </c>
      <c r="U12" s="5">
        <v>8100</v>
      </c>
      <c r="V12" s="5">
        <v>15600</v>
      </c>
      <c r="W12" s="40">
        <f>SUM(AllYears[[#This Row],[Development / coding mobile and e-commerce]:[Content Management Systems]])</f>
        <v>31200</v>
      </c>
      <c r="X12" s="6">
        <v>825828</v>
      </c>
      <c r="Y12" s="5">
        <v>64431</v>
      </c>
      <c r="Z12" s="5">
        <v>255294</v>
      </c>
      <c r="AA12" s="40">
        <f>SUM(AllYears[[#This Row],[Training Costs - existing employees]:[Recruitment costs - new salaries]])</f>
        <v>1145553</v>
      </c>
      <c r="AB12" s="6">
        <v>14499</v>
      </c>
      <c r="AC12" s="5">
        <v>91998</v>
      </c>
      <c r="AD12" s="5">
        <v>13800</v>
      </c>
      <c r="AE12" s="5">
        <v>1620</v>
      </c>
      <c r="AF12" s="40">
        <f>SUM(AllYears[[#This Row],[Inventory Holding Cost - warehouse]:[Utilities for Customer Support Space]])</f>
        <v>121917</v>
      </c>
      <c r="AG12" s="6">
        <v>16902450</v>
      </c>
      <c r="AH12" s="40">
        <f>SUM(AllYears[[#This Row],[Wholesale expense to hearing aid company]])</f>
        <v>16902450</v>
      </c>
      <c r="AI12" s="50">
        <f>SUM(AllYears[[#This Row],[Sum General Expense]],AllYears[[#This Row],[Sum Marketing Expense]],AllYears[[#This Row],[Sum Development Expense]],AllYears[[#This Row],[Sum Website Expense]],AllYears[[#This Row],[Sum Employee Expense]],AllYears[[#This Row],[Sum Occupancy Expense]],AllYears[[#This Row],[Sum Misc Expense]])</f>
        <v>31515777.344999999</v>
      </c>
      <c r="AJ12" s="43">
        <f>AllYears[[#This Row],[Sum Sales]]-AllYears[[#This Row],[Total Expenses]]</f>
        <v>13390739.655000001</v>
      </c>
      <c r="AK12" s="40">
        <f>SUM(AJ7:AJ12)</f>
        <v>35694017.602500007</v>
      </c>
    </row>
    <row r="13" spans="1:37" ht="18.75" customHeight="1" x14ac:dyDescent="0.25">
      <c r="A13" s="48">
        <v>42276</v>
      </c>
      <c r="B13" s="6">
        <v>44906517</v>
      </c>
      <c r="C13" s="40">
        <f>SUM(AllYears[[#This Row],[Sale of goods/services]])</f>
        <v>44906517</v>
      </c>
      <c r="D13" s="6">
        <v>36000</v>
      </c>
      <c r="E13" s="5">
        <v>12798357.344999999</v>
      </c>
      <c r="F13" s="40">
        <f>SUM(AllYears[[#This Row],[Legal Fees]:[General Selling/Admin Cost]])</f>
        <v>12834357.344999999</v>
      </c>
      <c r="G13" s="6">
        <v>12000</v>
      </c>
      <c r="H13" s="5">
        <v>208800</v>
      </c>
      <c r="I13" s="5">
        <v>13500</v>
      </c>
      <c r="J13" s="5">
        <v>90000</v>
      </c>
      <c r="K13" s="5">
        <v>150000</v>
      </c>
      <c r="L13" s="40">
        <f>SUM(AllYears[[#This Row],[Radio Ads]:[Magazine]])</f>
        <v>474300</v>
      </c>
      <c r="M13" s="6">
        <v>0</v>
      </c>
      <c r="N13" s="5">
        <v>6000</v>
      </c>
      <c r="O13" s="5">
        <v>0</v>
      </c>
      <c r="P13" s="5">
        <v>0</v>
      </c>
      <c r="Q13" s="40">
        <f>SUM(AllYears[[#This Row],[HEAR App Development]:[Market Testing]])</f>
        <v>6000</v>
      </c>
      <c r="R13" s="6">
        <v>3000</v>
      </c>
      <c r="S13" s="5">
        <v>1500</v>
      </c>
      <c r="T13" s="5">
        <v>3000</v>
      </c>
      <c r="U13" s="5">
        <v>8100</v>
      </c>
      <c r="V13" s="5">
        <v>15600</v>
      </c>
      <c r="W13" s="40">
        <f>SUM(AllYears[[#This Row],[Development / coding mobile and e-commerce]:[Content Management Systems]])</f>
        <v>31200</v>
      </c>
      <c r="X13" s="6">
        <v>825828</v>
      </c>
      <c r="Y13" s="5">
        <v>64431</v>
      </c>
      <c r="Z13" s="5">
        <v>255294</v>
      </c>
      <c r="AA13" s="40">
        <f>SUM(AllYears[[#This Row],[Training Costs - existing employees]:[Recruitment costs - new salaries]])</f>
        <v>1145553</v>
      </c>
      <c r="AB13" s="6">
        <v>14499</v>
      </c>
      <c r="AC13" s="5">
        <v>91998</v>
      </c>
      <c r="AD13" s="5">
        <v>13800</v>
      </c>
      <c r="AE13" s="5">
        <v>1620</v>
      </c>
      <c r="AF13" s="40">
        <f>SUM(AllYears[[#This Row],[Inventory Holding Cost - warehouse]:[Utilities for Customer Support Space]])</f>
        <v>121917</v>
      </c>
      <c r="AG13" s="6">
        <v>16902450</v>
      </c>
      <c r="AH13" s="40">
        <f>SUM(AllYears[[#This Row],[Wholesale expense to hearing aid company]])</f>
        <v>16902450</v>
      </c>
      <c r="AI13" s="50">
        <f>SUM(AllYears[[#This Row],[Sum General Expense]],AllYears[[#This Row],[Sum Marketing Expense]],AllYears[[#This Row],[Sum Development Expense]],AllYears[[#This Row],[Sum Website Expense]],AllYears[[#This Row],[Sum Employee Expense]],AllYears[[#This Row],[Sum Occupancy Expense]],AllYears[[#This Row],[Sum Misc Expense]])</f>
        <v>31515777.344999999</v>
      </c>
      <c r="AJ13" s="43">
        <f>AllYears[[#This Row],[Sum Sales]]-AllYears[[#This Row],[Total Expenses]]</f>
        <v>13390739.655000001</v>
      </c>
      <c r="AK13" s="40">
        <f>SUM(AJ7:AJ13)</f>
        <v>49084757.257500008</v>
      </c>
    </row>
    <row r="14" spans="1:37" ht="18.75" customHeight="1" x14ac:dyDescent="0.25">
      <c r="A14" s="48">
        <v>42368</v>
      </c>
      <c r="B14" s="6">
        <v>63411075</v>
      </c>
      <c r="C14" s="40">
        <f>SUM(AllYears[[#This Row],[Sale of goods/services]])</f>
        <v>63411075</v>
      </c>
      <c r="D14" s="6">
        <v>36000</v>
      </c>
      <c r="E14" s="5">
        <v>18072156.375</v>
      </c>
      <c r="F14" s="40">
        <f>SUM(AllYears[[#This Row],[Legal Fees]:[General Selling/Admin Cost]])</f>
        <v>18108156.375</v>
      </c>
      <c r="G14" s="6">
        <v>24000</v>
      </c>
      <c r="H14" s="5">
        <v>417600</v>
      </c>
      <c r="I14" s="5">
        <v>27000</v>
      </c>
      <c r="J14" s="5">
        <v>198000</v>
      </c>
      <c r="K14" s="5">
        <v>150000</v>
      </c>
      <c r="L14" s="40">
        <f>SUM(AllYears[[#This Row],[Radio Ads]:[Magazine]])</f>
        <v>816600</v>
      </c>
      <c r="M14" s="6">
        <v>0</v>
      </c>
      <c r="N14" s="5">
        <v>6000</v>
      </c>
      <c r="O14" s="5">
        <v>0</v>
      </c>
      <c r="P14" s="5">
        <v>0</v>
      </c>
      <c r="Q14" s="40">
        <f>SUM(AllYears[[#This Row],[HEAR App Development]:[Market Testing]])</f>
        <v>6000</v>
      </c>
      <c r="R14" s="6">
        <v>3000</v>
      </c>
      <c r="S14" s="5">
        <v>1500</v>
      </c>
      <c r="T14" s="5">
        <v>3000</v>
      </c>
      <c r="U14" s="5">
        <v>8100</v>
      </c>
      <c r="V14" s="5">
        <v>15600</v>
      </c>
      <c r="W14" s="40">
        <f>SUM(AllYears[[#This Row],[Development / coding mobile and e-commerce]:[Content Management Systems]])</f>
        <v>31200</v>
      </c>
      <c r="X14" s="6">
        <v>825828</v>
      </c>
      <c r="Y14" s="5">
        <v>64431</v>
      </c>
      <c r="Z14" s="5">
        <v>255294</v>
      </c>
      <c r="AA14" s="40">
        <f>SUM(AllYears[[#This Row],[Training Costs - existing employees]:[Recruitment costs - new salaries]])</f>
        <v>1145553</v>
      </c>
      <c r="AB14" s="6">
        <v>14499</v>
      </c>
      <c r="AC14" s="5">
        <v>91998</v>
      </c>
      <c r="AD14" s="5">
        <v>13800</v>
      </c>
      <c r="AE14" s="5">
        <v>1620</v>
      </c>
      <c r="AF14" s="40">
        <f>SUM(AllYears[[#This Row],[Inventory Holding Cost - warehouse]:[Utilities for Customer Support Space]])</f>
        <v>121917</v>
      </c>
      <c r="AG14" s="6">
        <v>23838750</v>
      </c>
      <c r="AH14" s="40">
        <f>SUM(AllYears[[#This Row],[Wholesale expense to hearing aid company]])</f>
        <v>23838750</v>
      </c>
      <c r="AI14" s="50">
        <f>SUM(AllYears[[#This Row],[Sum General Expense]],AllYears[[#This Row],[Sum Marketing Expense]],AllYears[[#This Row],[Sum Development Expense]],AllYears[[#This Row],[Sum Website Expense]],AllYears[[#This Row],[Sum Employee Expense]],AllYears[[#This Row],[Sum Occupancy Expense]],AllYears[[#This Row],[Sum Misc Expense]])</f>
        <v>44068176.375</v>
      </c>
      <c r="AJ14" s="43">
        <f>AllYears[[#This Row],[Sum Sales]]-AllYears[[#This Row],[Total Expenses]]</f>
        <v>19342898.625</v>
      </c>
      <c r="AK14" s="40">
        <f>SUM(AJ7:AJ14)</f>
        <v>68427655.882500008</v>
      </c>
    </row>
    <row r="15" spans="1:37" ht="18.75" customHeight="1" x14ac:dyDescent="0.25">
      <c r="A15" s="48">
        <v>42459</v>
      </c>
      <c r="B15" s="6">
        <v>63411075</v>
      </c>
      <c r="C15" s="40">
        <f>SUM(AllYears[[#This Row],[Sale of goods/services]])</f>
        <v>63411075</v>
      </c>
      <c r="D15" s="6">
        <v>36000</v>
      </c>
      <c r="E15" s="5">
        <v>18072156.375</v>
      </c>
      <c r="F15" s="40">
        <f>SUM(AllYears[[#This Row],[Legal Fees]:[General Selling/Admin Cost]])</f>
        <v>18108156.375</v>
      </c>
      <c r="G15" s="6">
        <v>24000</v>
      </c>
      <c r="H15" s="5">
        <v>417600</v>
      </c>
      <c r="I15" s="5">
        <v>27000</v>
      </c>
      <c r="J15" s="5">
        <v>198000</v>
      </c>
      <c r="K15" s="5">
        <v>150000</v>
      </c>
      <c r="L15" s="40">
        <f>SUM(AllYears[[#This Row],[Radio Ads]:[Magazine]])</f>
        <v>816600</v>
      </c>
      <c r="M15" s="6">
        <v>0</v>
      </c>
      <c r="N15" s="5">
        <v>6000</v>
      </c>
      <c r="O15" s="5">
        <v>0</v>
      </c>
      <c r="P15" s="5">
        <v>0</v>
      </c>
      <c r="Q15" s="40">
        <f>SUM(AllYears[[#This Row],[HEAR App Development]:[Market Testing]])</f>
        <v>6000</v>
      </c>
      <c r="R15" s="6">
        <v>3000</v>
      </c>
      <c r="S15" s="5">
        <v>1500</v>
      </c>
      <c r="T15" s="5">
        <v>3000</v>
      </c>
      <c r="U15" s="5">
        <v>8100</v>
      </c>
      <c r="V15" s="5">
        <v>15600</v>
      </c>
      <c r="W15" s="40">
        <f>SUM(AllYears[[#This Row],[Development / coding mobile and e-commerce]:[Content Management Systems]])</f>
        <v>31200</v>
      </c>
      <c r="X15" s="6">
        <v>825828</v>
      </c>
      <c r="Y15" s="5">
        <v>89736</v>
      </c>
      <c r="Z15" s="5">
        <v>358944</v>
      </c>
      <c r="AA15" s="40">
        <f>SUM(AllYears[[#This Row],[Training Costs - existing employees]:[Recruitment costs - new salaries]])</f>
        <v>1274508</v>
      </c>
      <c r="AB15" s="6">
        <v>18123</v>
      </c>
      <c r="AC15" s="5">
        <v>183999</v>
      </c>
      <c r="AD15" s="5">
        <v>20700</v>
      </c>
      <c r="AE15" s="5">
        <v>2430</v>
      </c>
      <c r="AF15" s="40">
        <f>SUM(AllYears[[#This Row],[Inventory Holding Cost - warehouse]:[Utilities for Customer Support Space]])</f>
        <v>225252</v>
      </c>
      <c r="AG15" s="6">
        <v>23838750</v>
      </c>
      <c r="AH15" s="40">
        <f>SUM(AllYears[[#This Row],[Wholesale expense to hearing aid company]])</f>
        <v>23838750</v>
      </c>
      <c r="AI15" s="50">
        <f>SUM(AllYears[[#This Row],[Sum General Expense]],AllYears[[#This Row],[Sum Marketing Expense]],AllYears[[#This Row],[Sum Development Expense]],AllYears[[#This Row],[Sum Website Expense]],AllYears[[#This Row],[Sum Employee Expense]],AllYears[[#This Row],[Sum Occupancy Expense]],AllYears[[#This Row],[Sum Misc Expense]])</f>
        <v>44300466.375</v>
      </c>
      <c r="AJ15" s="43">
        <f>AllYears[[#This Row],[Sum Sales]]-AllYears[[#This Row],[Total Expenses]]</f>
        <v>19110608.625</v>
      </c>
      <c r="AK15" s="40">
        <f>SUM(AJ7:AJ15)</f>
        <v>87538264.507500008</v>
      </c>
    </row>
    <row r="16" spans="1:37" ht="18.75" customHeight="1" x14ac:dyDescent="0.25">
      <c r="A16" s="48">
        <v>42550</v>
      </c>
      <c r="B16" s="6">
        <v>63411075</v>
      </c>
      <c r="C16" s="40">
        <f>SUM(AllYears[[#This Row],[Sale of goods/services]])</f>
        <v>63411075</v>
      </c>
      <c r="D16" s="6">
        <v>36000</v>
      </c>
      <c r="E16" s="5">
        <v>18072156.375</v>
      </c>
      <c r="F16" s="40">
        <f>SUM(AllYears[[#This Row],[Legal Fees]:[General Selling/Admin Cost]])</f>
        <v>18108156.375</v>
      </c>
      <c r="G16" s="6">
        <v>24000</v>
      </c>
      <c r="H16" s="5">
        <v>417600</v>
      </c>
      <c r="I16" s="5">
        <v>27000</v>
      </c>
      <c r="J16" s="5">
        <v>198000</v>
      </c>
      <c r="K16" s="5">
        <v>150000</v>
      </c>
      <c r="L16" s="40">
        <f>SUM(AllYears[[#This Row],[Radio Ads]:[Magazine]])</f>
        <v>816600</v>
      </c>
      <c r="M16" s="6">
        <v>0</v>
      </c>
      <c r="N16" s="5">
        <v>6000</v>
      </c>
      <c r="O16" s="5">
        <v>0</v>
      </c>
      <c r="P16" s="5">
        <v>0</v>
      </c>
      <c r="Q16" s="40">
        <f>SUM(AllYears[[#This Row],[HEAR App Development]:[Market Testing]])</f>
        <v>6000</v>
      </c>
      <c r="R16" s="6">
        <v>3000</v>
      </c>
      <c r="S16" s="5">
        <v>1500</v>
      </c>
      <c r="T16" s="5">
        <v>3000</v>
      </c>
      <c r="U16" s="5">
        <v>8100</v>
      </c>
      <c r="V16" s="5">
        <v>15600</v>
      </c>
      <c r="W16" s="40">
        <f>SUM(AllYears[[#This Row],[Development / coding mobile and e-commerce]:[Content Management Systems]])</f>
        <v>31200</v>
      </c>
      <c r="X16" s="6">
        <v>825828</v>
      </c>
      <c r="Y16" s="5">
        <v>89736</v>
      </c>
      <c r="Z16" s="5">
        <v>358944</v>
      </c>
      <c r="AA16" s="40">
        <f>SUM(AllYears[[#This Row],[Training Costs - existing employees]:[Recruitment costs - new salaries]])</f>
        <v>1274508</v>
      </c>
      <c r="AB16" s="6">
        <v>18123</v>
      </c>
      <c r="AC16" s="5">
        <v>183999</v>
      </c>
      <c r="AD16" s="5">
        <v>20700</v>
      </c>
      <c r="AE16" s="5">
        <v>2430</v>
      </c>
      <c r="AF16" s="40">
        <f>SUM(AllYears[[#This Row],[Inventory Holding Cost - warehouse]:[Utilities for Customer Support Space]])</f>
        <v>225252</v>
      </c>
      <c r="AG16" s="6">
        <v>23838750</v>
      </c>
      <c r="AH16" s="40">
        <f>SUM(AllYears[[#This Row],[Wholesale expense to hearing aid company]])</f>
        <v>23838750</v>
      </c>
      <c r="AI16" s="50">
        <f>SUM(AllYears[[#This Row],[Sum General Expense]],AllYears[[#This Row],[Sum Marketing Expense]],AllYears[[#This Row],[Sum Development Expense]],AllYears[[#This Row],[Sum Website Expense]],AllYears[[#This Row],[Sum Employee Expense]],AllYears[[#This Row],[Sum Occupancy Expense]],AllYears[[#This Row],[Sum Misc Expense]])</f>
        <v>44300466.375</v>
      </c>
      <c r="AJ16" s="43">
        <f>AllYears[[#This Row],[Sum Sales]]-AllYears[[#This Row],[Total Expenses]]</f>
        <v>19110608.625</v>
      </c>
      <c r="AK16" s="40">
        <f>SUM(AJ7:AJ16)</f>
        <v>106648873.13250001</v>
      </c>
    </row>
    <row r="17" spans="1:37" ht="18.75" customHeight="1" x14ac:dyDescent="0.25">
      <c r="A17" s="48">
        <v>42642</v>
      </c>
      <c r="B17" s="6">
        <v>63411075</v>
      </c>
      <c r="C17" s="40">
        <f>SUM(AllYears[[#This Row],[Sale of goods/services]])</f>
        <v>63411075</v>
      </c>
      <c r="D17" s="6">
        <v>36000</v>
      </c>
      <c r="E17" s="5">
        <v>18072156.375</v>
      </c>
      <c r="F17" s="40">
        <f>SUM(AllYears[[#This Row],[Legal Fees]:[General Selling/Admin Cost]])</f>
        <v>18108156.375</v>
      </c>
      <c r="G17" s="6">
        <v>24000</v>
      </c>
      <c r="H17" s="5">
        <v>417600</v>
      </c>
      <c r="I17" s="5">
        <v>27000</v>
      </c>
      <c r="J17" s="5">
        <v>198000</v>
      </c>
      <c r="K17" s="5">
        <v>150000</v>
      </c>
      <c r="L17" s="40">
        <f>SUM(AllYears[[#This Row],[Radio Ads]:[Magazine]])</f>
        <v>816600</v>
      </c>
      <c r="M17" s="6">
        <v>0</v>
      </c>
      <c r="N17" s="5">
        <v>6000</v>
      </c>
      <c r="O17" s="5">
        <v>0</v>
      </c>
      <c r="P17" s="5">
        <v>0</v>
      </c>
      <c r="Q17" s="40">
        <f>SUM(AllYears[[#This Row],[HEAR App Development]:[Market Testing]])</f>
        <v>6000</v>
      </c>
      <c r="R17" s="6">
        <v>3000</v>
      </c>
      <c r="S17" s="5">
        <v>1500</v>
      </c>
      <c r="T17" s="5">
        <v>3000</v>
      </c>
      <c r="U17" s="5">
        <v>8100</v>
      </c>
      <c r="V17" s="5">
        <v>15600</v>
      </c>
      <c r="W17" s="40">
        <f>SUM(AllYears[[#This Row],[Development / coding mobile and e-commerce]:[Content Management Systems]])</f>
        <v>31200</v>
      </c>
      <c r="X17" s="6">
        <v>825828</v>
      </c>
      <c r="Y17" s="5">
        <v>89736</v>
      </c>
      <c r="Z17" s="5">
        <v>358944</v>
      </c>
      <c r="AA17" s="40">
        <f>SUM(AllYears[[#This Row],[Training Costs - existing employees]:[Recruitment costs - new salaries]])</f>
        <v>1274508</v>
      </c>
      <c r="AB17" s="6">
        <v>18123</v>
      </c>
      <c r="AC17" s="5">
        <v>183999</v>
      </c>
      <c r="AD17" s="5">
        <v>20700</v>
      </c>
      <c r="AE17" s="5">
        <v>2430</v>
      </c>
      <c r="AF17" s="40">
        <f>SUM(AllYears[[#This Row],[Inventory Holding Cost - warehouse]:[Utilities for Customer Support Space]])</f>
        <v>225252</v>
      </c>
      <c r="AG17" s="6">
        <v>23838750</v>
      </c>
      <c r="AH17" s="40">
        <f>SUM(AllYears[[#This Row],[Wholesale expense to hearing aid company]])</f>
        <v>23838750</v>
      </c>
      <c r="AI17" s="50">
        <f>SUM(AllYears[[#This Row],[Sum General Expense]],AllYears[[#This Row],[Sum Marketing Expense]],AllYears[[#This Row],[Sum Development Expense]],AllYears[[#This Row],[Sum Website Expense]],AllYears[[#This Row],[Sum Employee Expense]],AllYears[[#This Row],[Sum Occupancy Expense]],AllYears[[#This Row],[Sum Misc Expense]])</f>
        <v>44300466.375</v>
      </c>
      <c r="AJ17" s="43">
        <f>AllYears[[#This Row],[Sum Sales]]-AllYears[[#This Row],[Total Expenses]]</f>
        <v>19110608.625</v>
      </c>
      <c r="AK17" s="40">
        <f>SUM(AJ7:AJ17)</f>
        <v>125759481.75750001</v>
      </c>
    </row>
    <row r="18" spans="1:37" ht="18.75" customHeight="1" thickBot="1" x14ac:dyDescent="0.3">
      <c r="A18" s="49">
        <v>42734</v>
      </c>
      <c r="B18" s="7">
        <v>63411075</v>
      </c>
      <c r="C18" s="45">
        <f>SUM(AllYears[[#This Row],[Sale of goods/services]])</f>
        <v>63411075</v>
      </c>
      <c r="D18" s="7">
        <v>36000</v>
      </c>
      <c r="E18" s="8">
        <v>18072156.375</v>
      </c>
      <c r="F18" s="45">
        <f>SUM(AllYears[[#This Row],[Legal Fees]:[General Selling/Admin Cost]])</f>
        <v>18108156.375</v>
      </c>
      <c r="G18" s="7">
        <v>24000</v>
      </c>
      <c r="H18" s="8">
        <v>417600</v>
      </c>
      <c r="I18" s="8">
        <v>27000</v>
      </c>
      <c r="J18" s="8">
        <v>198000</v>
      </c>
      <c r="K18" s="8">
        <v>150000</v>
      </c>
      <c r="L18" s="45">
        <f>SUM(AllYears[[#This Row],[Radio Ads]:[Magazine]])</f>
        <v>816600</v>
      </c>
      <c r="M18" s="7">
        <v>0</v>
      </c>
      <c r="N18" s="8">
        <v>6000</v>
      </c>
      <c r="O18" s="8">
        <v>0</v>
      </c>
      <c r="P18" s="8">
        <v>0</v>
      </c>
      <c r="Q18" s="45">
        <f>SUM(AllYears[[#This Row],[HEAR App Development]:[Market Testing]])</f>
        <v>6000</v>
      </c>
      <c r="R18" s="7">
        <v>3000</v>
      </c>
      <c r="S18" s="8">
        <v>1500</v>
      </c>
      <c r="T18" s="8">
        <v>3000</v>
      </c>
      <c r="U18" s="8">
        <v>8100</v>
      </c>
      <c r="V18" s="8">
        <v>15600</v>
      </c>
      <c r="W18" s="45">
        <f>SUM(AllYears[[#This Row],[Development / coding mobile and e-commerce]:[Content Management Systems]])</f>
        <v>31200</v>
      </c>
      <c r="X18" s="7">
        <v>825828</v>
      </c>
      <c r="Y18" s="8">
        <v>89736</v>
      </c>
      <c r="Z18" s="8">
        <v>358944</v>
      </c>
      <c r="AA18" s="45">
        <f>SUM(AllYears[[#This Row],[Training Costs - existing employees]:[Recruitment costs - new salaries]])</f>
        <v>1274508</v>
      </c>
      <c r="AB18" s="7">
        <v>18123</v>
      </c>
      <c r="AC18" s="8">
        <v>183999</v>
      </c>
      <c r="AD18" s="8">
        <v>20700</v>
      </c>
      <c r="AE18" s="8">
        <v>2430</v>
      </c>
      <c r="AF18" s="45">
        <f>SUM(AllYears[[#This Row],[Inventory Holding Cost - warehouse]:[Utilities for Customer Support Space]])</f>
        <v>225252</v>
      </c>
      <c r="AG18" s="7">
        <v>23838750</v>
      </c>
      <c r="AH18" s="45">
        <f>SUM(AllYears[[#This Row],[Wholesale expense to hearing aid company]])</f>
        <v>23838750</v>
      </c>
      <c r="AI18" s="51">
        <f>SUM(AllYears[[#This Row],[Sum General Expense]],AllYears[[#This Row],[Sum Marketing Expense]],AllYears[[#This Row],[Sum Development Expense]],AllYears[[#This Row],[Sum Website Expense]],AllYears[[#This Row],[Sum Employee Expense]],AllYears[[#This Row],[Sum Occupancy Expense]],AllYears[[#This Row],[Sum Misc Expense]])</f>
        <v>44300466.375</v>
      </c>
      <c r="AJ18" s="44">
        <f>AllYears[[#This Row],[Sum Sales]]-AllYears[[#This Row],[Total Expenses]]</f>
        <v>19110608.625</v>
      </c>
      <c r="AK18" s="45">
        <f>SUM(AJ7:AJ18)</f>
        <v>144870090.38249999</v>
      </c>
    </row>
    <row r="19" spans="1:37" ht="18.75" customHeight="1" thickTop="1" thickBot="1" x14ac:dyDescent="0.25">
      <c r="A19" s="52" t="s">
        <v>103</v>
      </c>
      <c r="B19" s="54">
        <f>AVERAGE(B7:B18)</f>
        <v>48888039.75</v>
      </c>
      <c r="C19" s="54">
        <f t="shared" ref="C19:AK19" si="0">AVERAGE(C7:C18)</f>
        <v>48888039.75</v>
      </c>
      <c r="D19" s="54">
        <f t="shared" si="0"/>
        <v>36000</v>
      </c>
      <c r="E19" s="54">
        <f t="shared" si="0"/>
        <v>14466997.468125001</v>
      </c>
      <c r="F19" s="54">
        <f t="shared" si="0"/>
        <v>14502997.468125001</v>
      </c>
      <c r="G19" s="54">
        <f t="shared" si="0"/>
        <v>16108.333333333334</v>
      </c>
      <c r="H19" s="54">
        <f t="shared" si="0"/>
        <v>278400</v>
      </c>
      <c r="I19" s="54">
        <f t="shared" si="0"/>
        <v>18000</v>
      </c>
      <c r="J19" s="54">
        <f t="shared" si="0"/>
        <v>129750</v>
      </c>
      <c r="K19" s="54">
        <f t="shared" si="0"/>
        <v>137500</v>
      </c>
      <c r="L19" s="54">
        <f t="shared" si="0"/>
        <v>579758.33333333337</v>
      </c>
      <c r="M19" s="54">
        <f t="shared" si="0"/>
        <v>700</v>
      </c>
      <c r="N19" s="54">
        <f t="shared" si="0"/>
        <v>5333.333333333333</v>
      </c>
      <c r="O19" s="54">
        <f t="shared" si="0"/>
        <v>1400000</v>
      </c>
      <c r="P19" s="54">
        <f t="shared" si="0"/>
        <v>350000</v>
      </c>
      <c r="Q19" s="54">
        <f t="shared" si="0"/>
        <v>1756033.3333333333</v>
      </c>
      <c r="R19" s="54">
        <f t="shared" si="0"/>
        <v>2625</v>
      </c>
      <c r="S19" s="54">
        <f t="shared" si="0"/>
        <v>2000</v>
      </c>
      <c r="T19" s="54">
        <f t="shared" si="0"/>
        <v>2500</v>
      </c>
      <c r="U19" s="54">
        <f t="shared" si="0"/>
        <v>6400</v>
      </c>
      <c r="V19" s="54">
        <f t="shared" si="0"/>
        <v>13100</v>
      </c>
      <c r="W19" s="54">
        <f t="shared" si="0"/>
        <v>26625</v>
      </c>
      <c r="X19" s="54">
        <f t="shared" si="0"/>
        <v>1055168.75</v>
      </c>
      <c r="Y19" s="54">
        <f t="shared" si="0"/>
        <v>71076.25</v>
      </c>
      <c r="Z19" s="54">
        <f t="shared" si="0"/>
        <v>289844</v>
      </c>
      <c r="AA19" s="54">
        <f t="shared" si="0"/>
        <v>1416089</v>
      </c>
      <c r="AB19" s="54">
        <f t="shared" si="0"/>
        <v>15304.25</v>
      </c>
      <c r="AC19" s="54">
        <f t="shared" si="0"/>
        <v>117554</v>
      </c>
      <c r="AD19" s="54">
        <f t="shared" si="0"/>
        <v>15333.333333333334</v>
      </c>
      <c r="AE19" s="54">
        <f t="shared" si="0"/>
        <v>1800</v>
      </c>
      <c r="AF19" s="54">
        <f t="shared" si="0"/>
        <v>149991.58333333334</v>
      </c>
      <c r="AG19" s="54">
        <f t="shared" si="0"/>
        <v>18384037.5</v>
      </c>
      <c r="AH19" s="54">
        <f t="shared" si="0"/>
        <v>18384037.5</v>
      </c>
      <c r="AI19" s="54">
        <f t="shared" si="0"/>
        <v>36815532.218125001</v>
      </c>
      <c r="AJ19" s="54">
        <f t="shared" si="0"/>
        <v>12072507.531874999</v>
      </c>
      <c r="AK19" s="54">
        <f t="shared" si="0"/>
        <v>50026278.642500006</v>
      </c>
    </row>
    <row r="20" spans="1:37" ht="16.5" thickTop="1" thickBot="1" x14ac:dyDescent="0.25">
      <c r="A20" s="53" t="s">
        <v>104</v>
      </c>
      <c r="B20" s="54">
        <f>MEDIAN(B7:B18)</f>
        <v>44960517</v>
      </c>
      <c r="C20" s="54">
        <f t="shared" ref="C20:AK20" si="1">MEDIAN(C7:C18)</f>
        <v>44960517</v>
      </c>
      <c r="D20" s="54">
        <f t="shared" si="1"/>
        <v>36000</v>
      </c>
      <c r="E20" s="54">
        <f t="shared" si="1"/>
        <v>12813747.344999999</v>
      </c>
      <c r="F20" s="54">
        <f t="shared" si="1"/>
        <v>12849747.344999999</v>
      </c>
      <c r="G20" s="54">
        <f t="shared" si="1"/>
        <v>12325</v>
      </c>
      <c r="H20" s="54">
        <f t="shared" si="1"/>
        <v>208800</v>
      </c>
      <c r="I20" s="54">
        <f t="shared" si="1"/>
        <v>13500</v>
      </c>
      <c r="J20" s="54">
        <f t="shared" si="1"/>
        <v>99000</v>
      </c>
      <c r="K20" s="54">
        <f t="shared" si="1"/>
        <v>150000</v>
      </c>
      <c r="L20" s="54">
        <f t="shared" si="1"/>
        <v>483300</v>
      </c>
      <c r="M20" s="54">
        <f t="shared" si="1"/>
        <v>0</v>
      </c>
      <c r="N20" s="54">
        <f t="shared" si="1"/>
        <v>6000</v>
      </c>
      <c r="O20" s="54">
        <f t="shared" si="1"/>
        <v>0</v>
      </c>
      <c r="P20" s="54">
        <f t="shared" si="1"/>
        <v>0</v>
      </c>
      <c r="Q20" s="54">
        <f t="shared" si="1"/>
        <v>6000</v>
      </c>
      <c r="R20" s="54">
        <f t="shared" si="1"/>
        <v>3000</v>
      </c>
      <c r="S20" s="54">
        <f t="shared" si="1"/>
        <v>1500</v>
      </c>
      <c r="T20" s="54">
        <f t="shared" si="1"/>
        <v>3000</v>
      </c>
      <c r="U20" s="54">
        <f t="shared" si="1"/>
        <v>8100</v>
      </c>
      <c r="V20" s="54">
        <f t="shared" si="1"/>
        <v>15600</v>
      </c>
      <c r="W20" s="54">
        <f t="shared" si="1"/>
        <v>31200</v>
      </c>
      <c r="X20" s="54">
        <f t="shared" si="1"/>
        <v>825828</v>
      </c>
      <c r="Y20" s="54">
        <f t="shared" si="1"/>
        <v>64431</v>
      </c>
      <c r="Z20" s="54">
        <f t="shared" si="1"/>
        <v>255294</v>
      </c>
      <c r="AA20" s="54">
        <f t="shared" si="1"/>
        <v>1274508</v>
      </c>
      <c r="AB20" s="54">
        <f t="shared" si="1"/>
        <v>14499</v>
      </c>
      <c r="AC20" s="54">
        <f t="shared" si="1"/>
        <v>91998</v>
      </c>
      <c r="AD20" s="54">
        <f t="shared" si="1"/>
        <v>13800</v>
      </c>
      <c r="AE20" s="54">
        <f t="shared" si="1"/>
        <v>1620</v>
      </c>
      <c r="AF20" s="54">
        <f t="shared" si="1"/>
        <v>121917</v>
      </c>
      <c r="AG20" s="54">
        <f t="shared" si="1"/>
        <v>16902450</v>
      </c>
      <c r="AH20" s="54">
        <f t="shared" si="1"/>
        <v>16902450</v>
      </c>
      <c r="AI20" s="54">
        <f t="shared" si="1"/>
        <v>32350212.344999999</v>
      </c>
      <c r="AJ20" s="54">
        <f t="shared" si="1"/>
        <v>13390739.655000001</v>
      </c>
      <c r="AK20" s="54">
        <f t="shared" si="1"/>
        <v>42389387.430000007</v>
      </c>
    </row>
    <row r="21" spans="1:37" ht="16.5" thickTop="1" thickBot="1" x14ac:dyDescent="0.25">
      <c r="A21" s="53" t="s">
        <v>105</v>
      </c>
      <c r="B21" s="54">
        <f>_xlfn.MODE.SNGL(B7:B18)</f>
        <v>63411075</v>
      </c>
      <c r="C21" s="54">
        <f t="shared" ref="C21:AK21" si="2">_xlfn.MODE.SNGL(C7:C18)</f>
        <v>63411075</v>
      </c>
      <c r="D21" s="54">
        <f t="shared" si="2"/>
        <v>36000</v>
      </c>
      <c r="E21" s="54">
        <f t="shared" si="2"/>
        <v>18072156.375</v>
      </c>
      <c r="F21" s="54">
        <f t="shared" si="2"/>
        <v>18108156.375</v>
      </c>
      <c r="G21" s="54">
        <f t="shared" si="2"/>
        <v>12000</v>
      </c>
      <c r="H21" s="54">
        <f t="shared" si="2"/>
        <v>208800</v>
      </c>
      <c r="I21" s="54">
        <f t="shared" si="2"/>
        <v>13500</v>
      </c>
      <c r="J21" s="54">
        <f t="shared" si="2"/>
        <v>198000</v>
      </c>
      <c r="K21" s="54">
        <f t="shared" si="2"/>
        <v>150000</v>
      </c>
      <c r="L21" s="54">
        <f t="shared" si="2"/>
        <v>816600</v>
      </c>
      <c r="M21" s="54">
        <f t="shared" si="2"/>
        <v>0</v>
      </c>
      <c r="N21" s="54">
        <f t="shared" si="2"/>
        <v>6000</v>
      </c>
      <c r="O21" s="54">
        <f t="shared" si="2"/>
        <v>0</v>
      </c>
      <c r="P21" s="54">
        <f t="shared" si="2"/>
        <v>0</v>
      </c>
      <c r="Q21" s="54">
        <f t="shared" si="2"/>
        <v>6000</v>
      </c>
      <c r="R21" s="54">
        <f t="shared" si="2"/>
        <v>3000</v>
      </c>
      <c r="S21" s="54">
        <f t="shared" si="2"/>
        <v>1500</v>
      </c>
      <c r="T21" s="54">
        <f t="shared" si="2"/>
        <v>3000</v>
      </c>
      <c r="U21" s="54">
        <f t="shared" si="2"/>
        <v>8100</v>
      </c>
      <c r="V21" s="54">
        <f t="shared" si="2"/>
        <v>15600</v>
      </c>
      <c r="W21" s="54">
        <f t="shared" si="2"/>
        <v>31200</v>
      </c>
      <c r="X21" s="54">
        <f t="shared" si="2"/>
        <v>825828</v>
      </c>
      <c r="Y21" s="54">
        <f t="shared" si="2"/>
        <v>64431</v>
      </c>
      <c r="Z21" s="54">
        <f t="shared" si="2"/>
        <v>255294</v>
      </c>
      <c r="AA21" s="54">
        <f t="shared" si="2"/>
        <v>1145553</v>
      </c>
      <c r="AB21" s="54">
        <f t="shared" si="2"/>
        <v>14499</v>
      </c>
      <c r="AC21" s="54">
        <f t="shared" si="2"/>
        <v>91998</v>
      </c>
      <c r="AD21" s="54">
        <f t="shared" si="2"/>
        <v>13800</v>
      </c>
      <c r="AE21" s="54">
        <f t="shared" si="2"/>
        <v>1620</v>
      </c>
      <c r="AF21" s="54">
        <f t="shared" si="2"/>
        <v>121917</v>
      </c>
      <c r="AG21" s="54">
        <f t="shared" si="2"/>
        <v>16902450</v>
      </c>
      <c r="AH21" s="54">
        <f t="shared" si="2"/>
        <v>16902450</v>
      </c>
      <c r="AI21" s="54">
        <f t="shared" si="2"/>
        <v>44300466.375</v>
      </c>
      <c r="AJ21" s="54">
        <f t="shared" si="2"/>
        <v>19110608.625</v>
      </c>
      <c r="AK21" s="55" t="e">
        <f t="shared" si="2"/>
        <v>#N/A</v>
      </c>
    </row>
    <row r="22" spans="1:37" ht="16.5" thickTop="1" thickBot="1" x14ac:dyDescent="0.25">
      <c r="A22" s="53" t="s">
        <v>106</v>
      </c>
      <c r="B22" s="54">
        <f>_xlfn.STDEV.P(B7:B18)</f>
        <v>17171844.858282048</v>
      </c>
      <c r="C22" s="54">
        <f t="shared" ref="C22:AK22" si="3">_xlfn.STDEV.P(C7:C18)</f>
        <v>17171844.858282048</v>
      </c>
      <c r="D22" s="54">
        <f t="shared" si="3"/>
        <v>0</v>
      </c>
      <c r="E22" s="54">
        <f t="shared" si="3"/>
        <v>3494093.0727234338</v>
      </c>
      <c r="F22" s="54">
        <f t="shared" si="3"/>
        <v>3494093.0727234338</v>
      </c>
      <c r="G22" s="54">
        <f t="shared" si="3"/>
        <v>7341.1180271733056</v>
      </c>
      <c r="H22" s="54">
        <f t="shared" si="3"/>
        <v>130209.67705973316</v>
      </c>
      <c r="I22" s="54">
        <f t="shared" si="3"/>
        <v>8418.7291202413689</v>
      </c>
      <c r="J22" s="54">
        <f t="shared" si="3"/>
        <v>63049.088018781047</v>
      </c>
      <c r="K22" s="54">
        <f t="shared" si="3"/>
        <v>41457.809879442495</v>
      </c>
      <c r="L22" s="54">
        <f t="shared" si="3"/>
        <v>237517.83690329918</v>
      </c>
      <c r="M22" s="54">
        <f t="shared" si="3"/>
        <v>2321.6373532487801</v>
      </c>
      <c r="N22" s="54">
        <f t="shared" si="3"/>
        <v>1699.6731711975949</v>
      </c>
      <c r="O22" s="54">
        <f t="shared" si="3"/>
        <v>4643274.7064975593</v>
      </c>
      <c r="P22" s="54">
        <f t="shared" si="3"/>
        <v>1160818.6766243898</v>
      </c>
      <c r="Q22" s="54">
        <f t="shared" si="3"/>
        <v>5804806.9860724527</v>
      </c>
      <c r="R22" s="54">
        <f t="shared" si="3"/>
        <v>1948.5571585149869</v>
      </c>
      <c r="S22" s="54">
        <f t="shared" si="3"/>
        <v>707.10678118654755</v>
      </c>
      <c r="T22" s="54">
        <f t="shared" si="3"/>
        <v>707.10678118654755</v>
      </c>
      <c r="U22" s="54">
        <f t="shared" si="3"/>
        <v>2404.1630560342614</v>
      </c>
      <c r="V22" s="54">
        <f t="shared" si="3"/>
        <v>3535.5339059327375</v>
      </c>
      <c r="W22" s="54">
        <f t="shared" si="3"/>
        <v>6736.2359667695728</v>
      </c>
      <c r="X22" s="54">
        <f t="shared" si="3"/>
        <v>352327.09310907032</v>
      </c>
      <c r="Y22" s="54">
        <f t="shared" si="3"/>
        <v>14412.730074052592</v>
      </c>
      <c r="Z22" s="54">
        <f t="shared" si="3"/>
        <v>48861.078579990433</v>
      </c>
      <c r="AA22" s="54">
        <f t="shared" si="3"/>
        <v>328844.17015662603</v>
      </c>
      <c r="AB22" s="54">
        <f t="shared" si="3"/>
        <v>2382.4053365244126</v>
      </c>
      <c r="AC22" s="54">
        <f t="shared" si="3"/>
        <v>49817.199670394963</v>
      </c>
      <c r="AD22" s="54">
        <f t="shared" si="3"/>
        <v>4535.6611670430393</v>
      </c>
      <c r="AE22" s="54">
        <f t="shared" si="3"/>
        <v>532.44718047896549</v>
      </c>
      <c r="AF22" s="54">
        <f t="shared" si="3"/>
        <v>57080.455041485569</v>
      </c>
      <c r="AG22" s="54">
        <f t="shared" si="3"/>
        <v>6454409.9020916531</v>
      </c>
      <c r="AH22" s="54">
        <f t="shared" si="3"/>
        <v>6454409.9020916531</v>
      </c>
      <c r="AI22" s="54">
        <f t="shared" si="3"/>
        <v>6345155.5764842629</v>
      </c>
      <c r="AJ22" s="54">
        <f t="shared" si="3"/>
        <v>12706437.229001023</v>
      </c>
      <c r="AK22" s="54">
        <f t="shared" si="3"/>
        <v>54670780.028826356</v>
      </c>
    </row>
    <row r="23" spans="1:37" ht="13.5" thickTop="1" x14ac:dyDescent="0.2"/>
  </sheetData>
  <mergeCells count="9">
    <mergeCell ref="B5:C5"/>
    <mergeCell ref="M5:Q5"/>
    <mergeCell ref="G5:L5"/>
    <mergeCell ref="D5:F5"/>
    <mergeCell ref="AI5:AK5"/>
    <mergeCell ref="AG5:AH5"/>
    <mergeCell ref="AB5:AF5"/>
    <mergeCell ref="X5:AA5"/>
    <mergeCell ref="R5:W5"/>
  </mergeCells>
  <pageMargins left="0.7" right="0.7" top="0.75" bottom="0.75" header="0.3" footer="0.3"/>
  <pageSetup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mso-contentType ?>
<spe:Receivers xmlns:spe="http://schemas.microsoft.com/sharepoint/events"/>
</file>

<file path=customXml/item2.xml><?xml version="1.0" encoding="utf-8"?>
<?mso-contentType ?>
<customXsn xmlns="http://schemas.microsoft.com/office/2006/metadata/customXsn">
  <xsnLocation/>
  <cached>True</cached>
  <openByDefault>False</openByDefault>
  <xsnScope/>
</customXsn>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DocumentBusinessValueTaxHTField0 xmlns="http://schemas.microsoft.com/sharepoint/v3">
      <Terms xmlns="http://schemas.microsoft.com/office/infopath/2007/PartnerControls">
        <TermInfo xmlns="http://schemas.microsoft.com/office/infopath/2007/PartnerControls">
          <TermName xmlns="http://schemas.microsoft.com/office/infopath/2007/PartnerControls">Normal</TermName>
          <TermId xmlns="http://schemas.microsoft.com/office/infopath/2007/PartnerControls">581d4866-74cc-43f1-bef1-bb304cbfeaa5</TermId>
        </TermInfo>
      </Terms>
    </DocumentBusinessValueTaxHTField0>
    <DocumentComments xmlns="http://schemas.microsoft.com/sharepoint/v3" xsi:nil="true"/>
    <DocumentDepartmentTaxHTField0 xmlns="http://schemas.microsoft.com/sharepoint/v3">
      <Terms xmlns="http://schemas.microsoft.com/office/infopath/2007/PartnerControls">
        <TermInfo xmlns="http://schemas.microsoft.com/office/infopath/2007/PartnerControls">
          <TermName xmlns="http://schemas.microsoft.com/office/infopath/2007/PartnerControls">Academic Program and Course Development</TermName>
          <TermId xmlns="http://schemas.microsoft.com/office/infopath/2007/PartnerControls">59abafec-cbf5-4238-a796-a3b74278f4db</TermId>
        </TermInfo>
      </Terms>
    </DocumentDepartmentTaxHTField0>
    <DocumentCategoryTaxHTField0 xmlns="http://schemas.microsoft.com/sharepoint/v3">
      <Terms xmlns="http://schemas.microsoft.com/office/infopath/2007/PartnerControls"/>
    </DocumentCategoryTaxHTField0>
    <DocumentTypeTaxHTField0 xmlns="http://schemas.microsoft.com/sharepoint/v3">
      <Terms xmlns="http://schemas.microsoft.com/office/infopath/2007/PartnerControls"/>
    </DocumentTypeTaxHTField0>
    <TaxKeywordTaxHTField xmlns="30a82cfc-8d0b-455e-b705-4035c60ff9fd">
      <Terms xmlns="http://schemas.microsoft.com/office/infopath/2007/PartnerControls"/>
    </TaxKeywordTaxHTField>
    <CourseVersion xmlns="30a82cfc-8d0b-455e-b705-4035c60ff9fd" xsi:nil="true"/>
    <SecurityClassificationTaxHTField0 xmlns="http://schemas.microsoft.com/sharepoint/v3">
      <Terms xmlns="http://schemas.microsoft.com/office/infopath/2007/PartnerControls">
        <TermInfo xmlns="http://schemas.microsoft.com/office/infopath/2007/PartnerControls">
          <TermName xmlns="http://schemas.microsoft.com/office/infopath/2007/PartnerControls">Internal</TermName>
          <TermId xmlns="http://schemas.microsoft.com/office/infopath/2007/PartnerControls">98311b30-b9e9-4d4f-9f64-0688c0d4a234</TermId>
        </TermInfo>
      </Terms>
    </SecurityClassificationTaxHTField0>
    <TaxCatchAll xmlns="30a82cfc-8d0b-455e-b705-4035c60ff9fd">
      <Value>3</Value>
      <Value>2</Value>
      <Value>1</Value>
    </TaxCatchAll>
    <DocumentSubjectTaxHTField0 xmlns="http://schemas.microsoft.com/sharepoint/v3">
      <Terms xmlns="http://schemas.microsoft.com/office/infopath/2007/PartnerControls"/>
    </DocumentSubjectTaxHTField0>
    <DocumentStatusTaxHTField0 xmlns="http://schemas.microsoft.com/sharepoint/v3">
      <Terms xmlns="http://schemas.microsoft.com/office/infopath/2007/PartnerControls"/>
    </DocumentStatusTaxHTField0>
  </documentManagement>
</p:properties>
</file>

<file path=customXml/item5.xml><?xml version="1.0" encoding="utf-8"?>
<ct:contentTypeSchema xmlns:ct="http://schemas.microsoft.com/office/2006/metadata/contentType" xmlns:ma="http://schemas.microsoft.com/office/2006/metadata/properties/metaAttributes" ct:_="" ma:_="" ma:contentTypeName="Course Development" ma:contentTypeID="0x010100A30BC5E90BED914E81F4B67CDEADBEEF0072B4D5296E9CCD41A4B955E8BC4A98B900DFF4A68AAE2AD04BBA4BD629C1D7EBB5" ma:contentTypeVersion="14" ma:contentTypeDescription="Create a new Course Development document." ma:contentTypeScope="" ma:versionID="9fa67a74855a9c398dcfad8473954e4c">
  <xsd:schema xmlns:xsd="http://www.w3.org/2001/XMLSchema" xmlns:xs="http://www.w3.org/2001/XMLSchema" xmlns:p="http://schemas.microsoft.com/office/2006/metadata/properties" xmlns:ns1="http://schemas.microsoft.com/sharepoint/v3" xmlns:ns2="30a82cfc-8d0b-455e-b705-4035c60ff9fd" targetNamespace="http://schemas.microsoft.com/office/2006/metadata/properties" ma:root="true" ma:fieldsID="7f302115a5f8a1b15560b600ae7cd187" ns1:_="" ns2:_="">
    <xsd:import namespace="http://schemas.microsoft.com/sharepoint/v3"/>
    <xsd:import namespace="30a82cfc-8d0b-455e-b705-4035c60ff9fd"/>
    <xsd:element name="properties">
      <xsd:complexType>
        <xsd:sequence>
          <xsd:element name="documentManagement">
            <xsd:complexType>
              <xsd:all>
                <xsd:element ref="ns2:CourseVersion" minOccurs="0"/>
                <xsd:element ref="ns1:DocumentComments" minOccurs="0"/>
                <xsd:element ref="ns2:TaxKeywordTaxHTField" minOccurs="0"/>
                <xsd:element ref="ns1:SecurityClassificationTaxHTField0" minOccurs="0"/>
                <xsd:element ref="ns1:DocumentCategoryTaxHTField0" minOccurs="0"/>
                <xsd:element ref="ns1:DocumentBusinessValueTaxHTField0" minOccurs="0"/>
                <xsd:element ref="ns1:DocumentSubjectTaxHTField0" minOccurs="0"/>
                <xsd:element ref="ns1:DocumentStatusTaxHTField0" minOccurs="0"/>
                <xsd:element ref="ns2:TaxCatchAll" minOccurs="0"/>
                <xsd:element ref="ns2:TaxCatchAllLabel" minOccurs="0"/>
                <xsd:element ref="ns1:DocumentTypeTaxHTField0" minOccurs="0"/>
                <xsd:element ref="ns1:DocumentDepartmentTaxHTField0"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DocumentComments" ma:index="7" nillable="true" ma:displayName="Description" ma:description="The summary or abstract of the contents of the document" ma:internalName="DocumentComments">
      <xsd:simpleType>
        <xsd:restriction base="dms:Note">
          <xsd:maxLength value="255"/>
        </xsd:restriction>
      </xsd:simpleType>
    </xsd:element>
    <xsd:element name="SecurityClassificationTaxHTField0" ma:index="13" nillable="true" ma:taxonomy="true" ma:internalName="SecurityClassificationTaxHTField0" ma:taxonomyFieldName="SecurityClassification" ma:displayName="Classification" ma:readOnly="false" ma:default="2;#Internal|98311b30-b9e9-4d4f-9f64-0688c0d4a234" ma:fieldId="{deadbeef-dd47-4075-83f4-7a25a42617f9}" ma:sspId="5ddf6d74-a44e-45e9-afc0-d7ad5ae01d3b" ma:termSetId="b4b0d153-30b9-455a-9458-c3a4d77c91e8" ma:anchorId="00000000-0000-0000-0000-000000000000" ma:open="false" ma:isKeyword="false">
      <xsd:complexType>
        <xsd:sequence>
          <xsd:element ref="pc:Terms" minOccurs="0" maxOccurs="1"/>
        </xsd:sequence>
      </xsd:complexType>
    </xsd:element>
    <xsd:element name="DocumentCategoryTaxHTField0" ma:index="14" nillable="true" ma:taxonomy="true" ma:internalName="DocumentCategoryTaxHTField0" ma:taxonomyFieldName="DocumentCategory" ma:displayName="Category" ma:default="" ma:fieldId="{deadbeef-df57-4942-869e-88db097302a9}" ma:sspId="5ddf6d74-a44e-45e9-afc0-d7ad5ae01d3b" ma:termSetId="52f69233-5cf0-4c4a-8a06-7adcfff7b0d8" ma:anchorId="00000000-0000-0000-0000-000000000000" ma:open="true" ma:isKeyword="false">
      <xsd:complexType>
        <xsd:sequence>
          <xsd:element ref="pc:Terms" minOccurs="0" maxOccurs="1"/>
        </xsd:sequence>
      </xsd:complexType>
    </xsd:element>
    <xsd:element name="DocumentBusinessValueTaxHTField0" ma:index="15" nillable="true" ma:taxonomy="true" ma:internalName="DocumentBusinessValueTaxHTField0" ma:taxonomyFieldName="DocumentBusinessValue" ma:displayName="Business Value" ma:readOnly="false" ma:default="1;#Normal|581d4866-74cc-43f1-bef1-bb304cbfeaa5" ma:fieldId="{deadbeef-1563-43e8-a472-f8beecdc2f9a}" ma:sspId="5ddf6d74-a44e-45e9-afc0-d7ad5ae01d3b" ma:termSetId="de6416be-ddc0-435d-937d-8647ab739be1" ma:anchorId="00000000-0000-0000-0000-000000000000" ma:open="false" ma:isKeyword="false">
      <xsd:complexType>
        <xsd:sequence>
          <xsd:element ref="pc:Terms" minOccurs="0" maxOccurs="1"/>
        </xsd:sequence>
      </xsd:complexType>
    </xsd:element>
    <xsd:element name="DocumentSubjectTaxHTField0" ma:index="16" nillable="true" ma:taxonomy="true" ma:internalName="DocumentSubjectTaxHTField0" ma:taxonomyFieldName="DocumentSubject" ma:displayName="Subject" ma:readOnly="false" ma:default="" ma:fieldId="{deadbeef-f57a-49aa-8e80-40b7474d5a66}" ma:sspId="5ddf6d74-a44e-45e9-afc0-d7ad5ae01d3b" ma:termSetId="122e6309-b4e4-4602-9fcd-00090a755f6d" ma:anchorId="00000000-0000-0000-0000-000000000000" ma:open="true" ma:isKeyword="false">
      <xsd:complexType>
        <xsd:sequence>
          <xsd:element ref="pc:Terms" minOccurs="0" maxOccurs="1"/>
        </xsd:sequence>
      </xsd:complexType>
    </xsd:element>
    <xsd:element name="DocumentStatusTaxHTField0" ma:index="17" nillable="true" ma:taxonomy="true" ma:internalName="DocumentStatusTaxHTField0" ma:taxonomyFieldName="DocumentStatus" ma:displayName="Status" ma:default="" ma:fieldId="{deadbeef-14b3-4711-a028-ec5ab2e777db}" ma:sspId="5ddf6d74-a44e-45e9-afc0-d7ad5ae01d3b" ma:termSetId="89f586f0-dd11-45fd-b561-c10d067e4b4b" ma:anchorId="00000000-0000-0000-0000-000000000000" ma:open="true" ma:isKeyword="false">
      <xsd:complexType>
        <xsd:sequence>
          <xsd:element ref="pc:Terms" minOccurs="0" maxOccurs="1"/>
        </xsd:sequence>
      </xsd:complexType>
    </xsd:element>
    <xsd:element name="DocumentTypeTaxHTField0" ma:index="20" nillable="true" ma:taxonomy="true" ma:internalName="DocumentTypeTaxHTField0" ma:taxonomyFieldName="DocumentType" ma:displayName="Document Type" ma:readOnly="false" ma:default="" ma:fieldId="{deadbeef-9601-426a-9322-ac73799625f1}" ma:sspId="5ddf6d74-a44e-45e9-afc0-d7ad5ae01d3b" ma:termSetId="56472838-225c-4fb3-b14d-139d47897cc6" ma:anchorId="00000000-0000-0000-0000-000000000000" ma:open="true" ma:isKeyword="false">
      <xsd:complexType>
        <xsd:sequence>
          <xsd:element ref="pc:Terms" minOccurs="0" maxOccurs="1"/>
        </xsd:sequence>
      </xsd:complexType>
    </xsd:element>
    <xsd:element name="DocumentDepartmentTaxHTField0" ma:index="21" nillable="true" ma:taxonomy="true" ma:internalName="DocumentDepartmentTaxHTField0" ma:taxonomyFieldName="DocumentDepartment" ma:displayName="Department" ma:readOnly="false" ma:default="3;#Academic Program and Course Development|59abafec-cbf5-4238-a796-a3b74278f4db" ma:fieldId="{deadbeef-6c26-4ca2-8669-4998fb5582db}" ma:sspId="5ddf6d74-a44e-45e9-afc0-d7ad5ae01d3b" ma:termSetId="1601148f-bc18-4e12-8568-fe1a2a042608"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30a82cfc-8d0b-455e-b705-4035c60ff9fd" elementFormDefault="qualified">
    <xsd:import namespace="http://schemas.microsoft.com/office/2006/documentManagement/types"/>
    <xsd:import namespace="http://schemas.microsoft.com/office/infopath/2007/PartnerControls"/>
    <xsd:element name="CourseVersion" ma:index="4" nillable="true" ma:displayName="Course Version" ma:internalName="CourseVersion">
      <xsd:simpleType>
        <xsd:restriction base="dms:Text">
          <xsd:maxLength value="255"/>
        </xsd:restriction>
      </xsd:simpleType>
    </xsd:element>
    <xsd:element name="TaxKeywordTaxHTField" ma:index="12" nillable="true" ma:taxonomy="true" ma:internalName="TaxKeywordTaxHTField" ma:taxonomyFieldName="TaxKeyword" ma:displayName="Enterprise Keywords" ma:fieldId="{23f27201-bee3-471e-b2e7-b64fd8b7ca38}" ma:taxonomyMulti="true" ma:sspId="5ddf6d74-a44e-45e9-afc0-d7ad5ae01d3b" ma:termSetId="00000000-0000-0000-0000-000000000000" ma:anchorId="00000000-0000-0000-0000-000000000000" ma:open="true" ma:isKeyword="true">
      <xsd:complexType>
        <xsd:sequence>
          <xsd:element ref="pc:Terms" minOccurs="0" maxOccurs="1"/>
        </xsd:sequence>
      </xsd:complexType>
    </xsd:element>
    <xsd:element name="TaxCatchAll" ma:index="18" nillable="true" ma:displayName="Taxonomy Catch All Column" ma:description="" ma:hidden="true" ma:list="{4549d8d1-fd35-42e1-a179-f6926eae1453}" ma:internalName="TaxCatchAll" ma:showField="CatchAllData" ma:web="30a82cfc-8d0b-455e-b705-4035c60ff9fd">
      <xsd:complexType>
        <xsd:complexContent>
          <xsd:extension base="dms:MultiChoiceLookup">
            <xsd:sequence>
              <xsd:element name="Value" type="dms:Lookup" maxOccurs="unbounded" minOccurs="0" nillable="true"/>
            </xsd:sequence>
          </xsd:extension>
        </xsd:complexContent>
      </xsd:complexType>
    </xsd:element>
    <xsd:element name="TaxCatchAllLabel" ma:index="19" nillable="true" ma:displayName="Taxonomy Catch All Column1" ma:description="" ma:hidden="true" ma:list="{4549d8d1-fd35-42e1-a179-f6926eae1453}" ma:internalName="TaxCatchAllLabel" ma:readOnly="true" ma:showField="CatchAllDataLabel" ma:web="30a82cfc-8d0b-455e-b705-4035c60ff9f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278CD4F-0AF1-4699-AAF3-7792EE24EA7C}">
  <ds:schemaRefs>
    <ds:schemaRef ds:uri="http://schemas.microsoft.com/sharepoint/events"/>
  </ds:schemaRefs>
</ds:datastoreItem>
</file>

<file path=customXml/itemProps2.xml><?xml version="1.0" encoding="utf-8"?>
<ds:datastoreItem xmlns:ds="http://schemas.openxmlformats.org/officeDocument/2006/customXml" ds:itemID="{C5E0A05B-4CA6-4934-A524-6ED2C42D652C}">
  <ds:schemaRefs>
    <ds:schemaRef ds:uri="http://schemas.microsoft.com/office/2006/metadata/customXsn"/>
  </ds:schemaRefs>
</ds:datastoreItem>
</file>

<file path=customXml/itemProps3.xml><?xml version="1.0" encoding="utf-8"?>
<ds:datastoreItem xmlns:ds="http://schemas.openxmlformats.org/officeDocument/2006/customXml" ds:itemID="{C2A2B8DE-AFF2-45C0-9DF3-FF95778A5344}">
  <ds:schemaRefs>
    <ds:schemaRef ds:uri="http://schemas.microsoft.com/sharepoint/v3/contenttype/forms"/>
  </ds:schemaRefs>
</ds:datastoreItem>
</file>

<file path=customXml/itemProps4.xml><?xml version="1.0" encoding="utf-8"?>
<ds:datastoreItem xmlns:ds="http://schemas.openxmlformats.org/officeDocument/2006/customXml" ds:itemID="{772A9B37-B6D1-4CEC-ABA1-C547489C0D5D}">
  <ds:schemaRefs>
    <ds:schemaRef ds:uri="30a82cfc-8d0b-455e-b705-4035c60ff9fd"/>
    <ds:schemaRef ds:uri="http://purl.org/dc/dcmitype/"/>
    <ds:schemaRef ds:uri="http://purl.org/dc/terms/"/>
    <ds:schemaRef ds:uri="http://schemas.microsoft.com/office/2006/documentManagement/types"/>
    <ds:schemaRef ds:uri="http://schemas.openxmlformats.org/package/2006/metadata/core-properties"/>
    <ds:schemaRef ds:uri="http://purl.org/dc/elements/1.1/"/>
    <ds:schemaRef ds:uri="http://schemas.microsoft.com/sharepoint/v3"/>
    <ds:schemaRef ds:uri="http://schemas.microsoft.com/office/2006/metadata/properties"/>
    <ds:schemaRef ds:uri="http://www.w3.org/XML/1998/namespace"/>
    <ds:schemaRef ds:uri="http://schemas.microsoft.com/office/infopath/2007/PartnerControls"/>
  </ds:schemaRefs>
</ds:datastoreItem>
</file>

<file path=customXml/itemProps5.xml><?xml version="1.0" encoding="utf-8"?>
<ds:datastoreItem xmlns:ds="http://schemas.openxmlformats.org/officeDocument/2006/customXml" ds:itemID="{82915227-2600-4855-827B-8BD045D797E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30a82cfc-8d0b-455e-b705-4035c60ff9f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Executive Summary </vt:lpstr>
      <vt:lpstr>P&amp;L Summary</vt:lpstr>
      <vt:lpstr>Expense Breakdown</vt:lpstr>
      <vt:lpstr>Break-Even Analysis</vt:lpstr>
      <vt:lpstr>{Source Data}</vt:lpstr>
    </vt:vector>
  </TitlesOfParts>
  <Manager/>
  <Company>HBV Holdings, LLC</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 Cofrancesco PhD</dc:creator>
  <cp:keywords/>
  <dc:description/>
  <cp:lastModifiedBy>JAKE OCONNOR</cp:lastModifiedBy>
  <cp:revision/>
  <dcterms:created xsi:type="dcterms:W3CDTF">2016-04-18T20:51:32Z</dcterms:created>
  <dcterms:modified xsi:type="dcterms:W3CDTF">2021-08-19T04:50:47Z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0x010100A30BC5E90BED914E81F4B67CDEADBEEF0072B4D5296E9CCD41A4B955E8BC4A98B900DFF4A68AAE2AD04BBA4BD629C1D7EBB5</vt:lpwstr>
  </property>
  <property fmtid="{D5CDD505-2E9C-101B-9397-08002B2CF9AE}" pid="3" name="DocumentSubject">
    <vt:lpwstr/>
  </property>
  <property fmtid="{D5CDD505-2E9C-101B-9397-08002B2CF9AE}" pid="4" name="DocumentDepartment">
    <vt:lpwstr>3;#Academic Program and Course Development|59abafec-cbf5-4238-a796-a3b74278f4db</vt:lpwstr>
  </property>
  <property fmtid="{D5CDD505-2E9C-101B-9397-08002B2CF9AE}" pid="5" name="TaxKeyword">
    <vt:lpwstr/>
  </property>
  <property fmtid="{D5CDD505-2E9C-101B-9397-08002B2CF9AE}" pid="6" name="DocumentBusinessValue">
    <vt:lpwstr>1;#Normal|581d4866-74cc-43f1-bef1-bb304cbfeaa5</vt:lpwstr>
  </property>
  <property fmtid="{D5CDD505-2E9C-101B-9397-08002B2CF9AE}" pid="7" name="SecurityClassification">
    <vt:lpwstr>2;#Internal|98311b30-b9e9-4d4f-9f64-0688c0d4a234</vt:lpwstr>
  </property>
  <property fmtid="{D5CDD505-2E9C-101B-9397-08002B2CF9AE}" pid="8" name="DocumentStatus">
    <vt:lpwstr/>
  </property>
  <property fmtid="{D5CDD505-2E9C-101B-9397-08002B2CF9AE}" pid="9" name="DocumentType">
    <vt:lpwstr/>
  </property>
  <property fmtid="{D5CDD505-2E9C-101B-9397-08002B2CF9AE}" pid="10" name="DocumentCategory">
    <vt:lpwstr/>
  </property>
</Properties>
</file>