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atedu-my.sharepoint.com/personal/jakoconn_uat_edu/Documents/MS544/"/>
    </mc:Choice>
  </mc:AlternateContent>
  <xr:revisionPtr revIDLastSave="0" documentId="8_{3BDA84F8-8032-4C6F-8DCF-A76BF1148A23}" xr6:coauthVersionLast="47" xr6:coauthVersionMax="47" xr10:uidLastSave="{00000000-0000-0000-0000-000000000000}"/>
  <bookViews>
    <workbookView xWindow="-38510" yWindow="-6000" windowWidth="38620" windowHeight="21220" xr2:uid="{00000000-000D-0000-FFFF-FFFF00000000}"/>
  </bookViews>
  <sheets>
    <sheet name="Data" sheetId="1" r:id="rId1"/>
  </sheets>
  <definedNames>
    <definedName name="_xlnm._FilterDatabase" localSheetId="0" hidden="1">Data!$A$1:$F$86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H75" i="1"/>
  <c r="H74" i="1"/>
  <c r="H73" i="1"/>
  <c r="H72" i="1"/>
  <c r="G89" i="1"/>
  <c r="G88" i="1"/>
  <c r="G87" i="1"/>
  <c r="G86" i="1"/>
  <c r="H88" i="1"/>
  <c r="H89" i="1"/>
  <c r="H87" i="1"/>
  <c r="H86" i="1"/>
  <c r="H101" i="1"/>
  <c r="H100" i="1"/>
  <c r="H99" i="1"/>
  <c r="H98" i="1"/>
  <c r="G101" i="1"/>
  <c r="G100" i="1"/>
  <c r="G99" i="1"/>
  <c r="G98" i="1"/>
  <c r="H118" i="1"/>
  <c r="H117" i="1"/>
  <c r="H116" i="1"/>
  <c r="H115" i="1"/>
  <c r="G118" i="1"/>
  <c r="G117" i="1"/>
  <c r="G116" i="1"/>
  <c r="G115" i="1"/>
  <c r="G136" i="1"/>
  <c r="G135" i="1"/>
  <c r="G134" i="1"/>
  <c r="G133" i="1"/>
  <c r="H136" i="1"/>
  <c r="H135" i="1"/>
  <c r="H134" i="1"/>
  <c r="H133" i="1"/>
  <c r="H148" i="1"/>
  <c r="H147" i="1"/>
  <c r="H146" i="1"/>
  <c r="H145" i="1"/>
  <c r="G148" i="1"/>
  <c r="G147" i="1"/>
  <c r="G146" i="1"/>
  <c r="G145" i="1"/>
  <c r="H167" i="1"/>
  <c r="H166" i="1"/>
  <c r="H165" i="1"/>
  <c r="H164" i="1"/>
  <c r="G167" i="1"/>
  <c r="G166" i="1"/>
  <c r="G165" i="1"/>
  <c r="G164" i="1"/>
  <c r="H68" i="1"/>
  <c r="H69" i="1"/>
  <c r="H70" i="1"/>
  <c r="H71" i="1"/>
  <c r="H78" i="1"/>
  <c r="H79" i="1"/>
  <c r="H80" i="1"/>
  <c r="H81" i="1"/>
  <c r="H82" i="1"/>
  <c r="H83" i="1"/>
  <c r="H84" i="1"/>
  <c r="H85" i="1"/>
  <c r="H92" i="1"/>
  <c r="H93" i="1"/>
  <c r="H94" i="1"/>
  <c r="H95" i="1"/>
  <c r="H96" i="1"/>
  <c r="H97" i="1"/>
  <c r="H104" i="1"/>
  <c r="H105" i="1"/>
  <c r="H106" i="1"/>
  <c r="H107" i="1"/>
  <c r="H108" i="1"/>
  <c r="H109" i="1"/>
  <c r="H110" i="1"/>
  <c r="H111" i="1"/>
  <c r="H112" i="1"/>
  <c r="H113" i="1"/>
  <c r="H114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9" i="1"/>
  <c r="H140" i="1"/>
  <c r="H141" i="1"/>
  <c r="H142" i="1"/>
  <c r="H143" i="1"/>
  <c r="H144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9" i="1"/>
  <c r="G140" i="1"/>
  <c r="G141" i="1"/>
  <c r="G142" i="1"/>
  <c r="G143" i="1"/>
  <c r="G144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04" i="1"/>
  <c r="G105" i="1"/>
  <c r="G106" i="1"/>
  <c r="G107" i="1"/>
  <c r="G108" i="1"/>
  <c r="G109" i="1"/>
  <c r="G110" i="1"/>
  <c r="G111" i="1"/>
  <c r="G112" i="1"/>
  <c r="G113" i="1"/>
  <c r="G114" i="1"/>
  <c r="G92" i="1"/>
  <c r="G93" i="1"/>
  <c r="G94" i="1"/>
  <c r="G95" i="1"/>
  <c r="G96" i="1"/>
  <c r="G97" i="1"/>
  <c r="G78" i="1"/>
  <c r="G79" i="1"/>
  <c r="G80" i="1"/>
  <c r="G81" i="1"/>
  <c r="G82" i="1"/>
  <c r="G83" i="1"/>
  <c r="G84" i="1"/>
  <c r="G85" i="1"/>
  <c r="G68" i="1"/>
  <c r="G69" i="1"/>
  <c r="G70" i="1"/>
  <c r="G7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6" i="1"/>
  <c r="D68" i="1"/>
  <c r="D69" i="1"/>
  <c r="D70" i="1"/>
  <c r="D71" i="1"/>
  <c r="D76" i="1"/>
  <c r="M2" i="1"/>
  <c r="N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5" i="1"/>
  <c r="F65" i="1"/>
  <c r="H64" i="1"/>
  <c r="G64" i="1"/>
  <c r="H63" i="1"/>
  <c r="G63" i="1"/>
  <c r="H62" i="1"/>
  <c r="G62" i="1"/>
  <c r="D168" i="1"/>
  <c r="M8" i="1"/>
  <c r="N8" i="1"/>
  <c r="D149" i="1"/>
  <c r="M7" i="1"/>
  <c r="N7" i="1"/>
  <c r="D137" i="1"/>
  <c r="M6" i="1"/>
  <c r="N6" i="1"/>
  <c r="D119" i="1"/>
  <c r="M5" i="1"/>
  <c r="N5" i="1"/>
  <c r="D102" i="1"/>
  <c r="M4" i="1"/>
  <c r="N4" i="1"/>
  <c r="D90" i="1"/>
  <c r="M3" i="1"/>
  <c r="N3" i="1"/>
  <c r="C168" i="1"/>
  <c r="L8" i="1"/>
  <c r="C149" i="1"/>
  <c r="L7" i="1"/>
  <c r="C137" i="1"/>
  <c r="L6" i="1"/>
  <c r="C119" i="1"/>
  <c r="L5" i="1"/>
  <c r="C102" i="1"/>
  <c r="L4" i="1"/>
  <c r="C90" i="1"/>
  <c r="L3" i="1"/>
  <c r="C76" i="1"/>
  <c r="L2" i="1"/>
  <c r="C66" i="1"/>
  <c r="K155" i="1"/>
  <c r="K154" i="1"/>
  <c r="K153" i="1"/>
  <c r="K152" i="1"/>
  <c r="K151" i="1"/>
  <c r="K143" i="1"/>
  <c r="K142" i="1"/>
  <c r="K141" i="1"/>
  <c r="K140" i="1"/>
  <c r="K139" i="1"/>
  <c r="K125" i="1"/>
  <c r="K124" i="1"/>
  <c r="K123" i="1"/>
  <c r="K122" i="1"/>
  <c r="K121" i="1"/>
  <c r="K108" i="1"/>
  <c r="K107" i="1"/>
  <c r="K106" i="1"/>
  <c r="K105" i="1"/>
  <c r="K104" i="1"/>
  <c r="K96" i="1"/>
  <c r="K95" i="1"/>
  <c r="K94" i="1"/>
  <c r="K93" i="1"/>
  <c r="K92" i="1"/>
  <c r="K82" i="1"/>
  <c r="K81" i="1"/>
  <c r="K80" i="1"/>
  <c r="K79" i="1"/>
  <c r="K78" i="1"/>
  <c r="K72" i="1"/>
  <c r="K71" i="1"/>
  <c r="K70" i="1"/>
  <c r="K69" i="1"/>
  <c r="K68" i="1"/>
  <c r="F167" i="1"/>
  <c r="F166" i="1"/>
  <c r="F165" i="1"/>
  <c r="F164" i="1"/>
  <c r="D167" i="1"/>
  <c r="D166" i="1"/>
  <c r="D165" i="1"/>
  <c r="D164" i="1"/>
  <c r="C167" i="1"/>
  <c r="C166" i="1"/>
  <c r="C165" i="1"/>
  <c r="C164" i="1"/>
  <c r="B167" i="1"/>
  <c r="B166" i="1"/>
  <c r="B165" i="1"/>
  <c r="B164" i="1"/>
  <c r="B148" i="1"/>
  <c r="B147" i="1"/>
  <c r="B146" i="1"/>
  <c r="B145" i="1"/>
  <c r="C148" i="1"/>
  <c r="C147" i="1"/>
  <c r="C146" i="1"/>
  <c r="C145" i="1"/>
  <c r="D148" i="1"/>
  <c r="D147" i="1"/>
  <c r="D146" i="1"/>
  <c r="D145" i="1"/>
  <c r="F148" i="1"/>
  <c r="F147" i="1"/>
  <c r="F146" i="1"/>
  <c r="F145" i="1"/>
  <c r="F136" i="1"/>
  <c r="F135" i="1"/>
  <c r="F134" i="1"/>
  <c r="F133" i="1"/>
  <c r="D136" i="1"/>
  <c r="D135" i="1"/>
  <c r="D134" i="1"/>
  <c r="D133" i="1"/>
  <c r="C136" i="1"/>
  <c r="C135" i="1"/>
  <c r="C134" i="1"/>
  <c r="C133" i="1"/>
  <c r="B136" i="1"/>
  <c r="B135" i="1"/>
  <c r="B134" i="1"/>
  <c r="B133" i="1"/>
  <c r="D115" i="1"/>
  <c r="B118" i="1"/>
  <c r="B117" i="1"/>
  <c r="B116" i="1"/>
  <c r="B115" i="1"/>
  <c r="C118" i="1"/>
  <c r="C117" i="1"/>
  <c r="C116" i="1"/>
  <c r="C115" i="1"/>
  <c r="D118" i="1"/>
  <c r="D117" i="1"/>
  <c r="D116" i="1"/>
  <c r="F118" i="1"/>
  <c r="F117" i="1"/>
  <c r="F116" i="1"/>
  <c r="F115" i="1"/>
  <c r="F101" i="1"/>
  <c r="F100" i="1"/>
  <c r="F99" i="1"/>
  <c r="F98" i="1"/>
  <c r="D101" i="1"/>
  <c r="D100" i="1"/>
  <c r="D99" i="1"/>
  <c r="D98" i="1"/>
  <c r="C101" i="1"/>
  <c r="C100" i="1"/>
  <c r="C99" i="1"/>
  <c r="C98" i="1"/>
  <c r="B101" i="1"/>
  <c r="B100" i="1"/>
  <c r="B99" i="1"/>
  <c r="B98" i="1"/>
  <c r="B89" i="1"/>
  <c r="B88" i="1"/>
  <c r="B87" i="1"/>
  <c r="B86" i="1"/>
  <c r="C89" i="1"/>
  <c r="C88" i="1"/>
  <c r="C87" i="1"/>
  <c r="C86" i="1"/>
  <c r="D89" i="1"/>
  <c r="D88" i="1"/>
  <c r="D87" i="1"/>
  <c r="D86" i="1"/>
  <c r="F89" i="1"/>
  <c r="F88" i="1"/>
  <c r="F87" i="1"/>
  <c r="F86" i="1"/>
  <c r="B74" i="1"/>
  <c r="F62" i="1"/>
  <c r="B75" i="1"/>
  <c r="B73" i="1"/>
  <c r="B72" i="1"/>
  <c r="C75" i="1"/>
  <c r="C74" i="1"/>
  <c r="C73" i="1"/>
  <c r="C72" i="1"/>
  <c r="D75" i="1"/>
  <c r="D74" i="1"/>
  <c r="D73" i="1"/>
  <c r="D72" i="1"/>
  <c r="F72" i="1"/>
  <c r="F73" i="1"/>
  <c r="F74" i="1"/>
  <c r="F75" i="1"/>
  <c r="D65" i="1"/>
  <c r="C65" i="1"/>
  <c r="B65" i="1"/>
  <c r="B64" i="1"/>
  <c r="C64" i="1"/>
  <c r="D64" i="1"/>
  <c r="F64" i="1"/>
  <c r="F63" i="1"/>
  <c r="D63" i="1"/>
  <c r="C63" i="1"/>
  <c r="B63" i="1"/>
  <c r="B62" i="1"/>
  <c r="C62" i="1"/>
  <c r="D62" i="1"/>
</calcChain>
</file>

<file path=xl/sharedStrings.xml><?xml version="1.0" encoding="utf-8"?>
<sst xmlns="http://schemas.openxmlformats.org/spreadsheetml/2006/main" count="122" uniqueCount="18">
  <si>
    <t>Customer</t>
  </si>
  <si>
    <t xml:space="preserve"> Percent Gross Profit</t>
  </si>
  <si>
    <t>Gross Sales</t>
  </si>
  <si>
    <t>Gross Profit</t>
  </si>
  <si>
    <t>Product Code</t>
  </si>
  <si>
    <t>Competitive Rating*</t>
  </si>
  <si>
    <t>% of Product Profit</t>
  </si>
  <si>
    <t>% of Total Profit</t>
  </si>
  <si>
    <t>Product</t>
  </si>
  <si>
    <t>Sales</t>
  </si>
  <si>
    <t>Profits</t>
  </si>
  <si>
    <t>MEAN</t>
  </si>
  <si>
    <t>MEDIAN</t>
  </si>
  <si>
    <t>MODE</t>
  </si>
  <si>
    <t>DEV</t>
  </si>
  <si>
    <t>SUM</t>
  </si>
  <si>
    <t>Comp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</si>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</sst>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1"/>
      <color rgb="FFFA7D0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44" fontId="6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0" fontId="5" fillId="2" borderId="2" xfId="4"/>
    <xf numFmtId="44" fontId="0" fillId="0" borderId="0" xfId="5" applyFont="1"/>
    <xf numFmtId="44" fontId="0" fillId="0" borderId="0" xfId="5" applyFont="1" applyAlignment="1"/>
    <xf numFmtId="9" fontId="0" fillId="0" borderId="0" xfId="1" applyFont="1"/>
    <xf numFmtId="9" fontId="0" fillId="0" borderId="0" xfId="1" applyFont="1" applyAlignment="1"/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9" fontId="5" fillId="2" borderId="2" xfId="4" applyNumberFormat="1" applyAlignment="1">
      <alignment horizontal="center"/>
    </xf>
    <xf numFmtId="44" fontId="5" fillId="2" borderId="2" xfId="4" applyNumberFormat="1" applyAlignment="1">
      <alignment horizontal="center"/>
    </xf>
    <xf numFmtId="1" fontId="5" fillId="2" borderId="2" xfId="4" applyNumberFormat="1"/>
    <xf numFmtId="1" fontId="5" fillId="2" borderId="2" xfId="4" applyNumberFormat="1" applyAlignment="1">
      <alignment horizontal="center"/>
    </xf>
    <xf numFmtId="9" fontId="5" fillId="2" borderId="2" xfId="4" applyNumberFormat="1" applyAlignment="1"/>
    <xf numFmtId="1" fontId="5" fillId="2" borderId="2" xfId="4" applyNumberFormat="1" applyAlignment="1"/>
    <xf numFmtId="44" fontId="2" fillId="0" borderId="0" xfId="5" applyFont="1" applyAlignment="1">
      <alignment horizontal="center" vertical="center" wrapText="1"/>
    </xf>
    <xf numFmtId="9" fontId="2" fillId="0" borderId="0" xfId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44" fontId="0" fillId="0" borderId="0" xfId="5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0" fontId="0" fillId="0" borderId="1" xfId="1" applyNumberFormat="1" applyFont="1" applyFill="1" applyBorder="1" applyAlignment="1">
      <alignment horizontal="center" vertical="center" wrapText="1"/>
    </xf>
    <xf numFmtId="10" fontId="0" fillId="0" borderId="0" xfId="1" applyNumberFormat="1" applyFont="1"/>
    <xf numFmtId="10" fontId="5" fillId="2" borderId="2" xfId="1" applyNumberFormat="1" applyFont="1" applyFill="1" applyBorder="1" applyAlignment="1">
      <alignment horizontal="center"/>
    </xf>
    <xf numFmtId="10" fontId="0" fillId="0" borderId="0" xfId="1" applyNumberFormat="1" applyFont="1" applyAlignment="1"/>
    <xf numFmtId="9" fontId="5" fillId="2" borderId="2" xfId="0" applyNumberFormat="1" applyFont="1" applyFill="1" applyBorder="1" applyAlignment="1">
      <alignment horizontal="center"/>
    </xf>
    <xf numFmtId="44" fontId="5" fillId="2" borderId="2" xfId="0" applyNumberFormat="1" applyFont="1" applyFill="1" applyBorder="1" applyAlignment="1">
      <alignment horizontal="center"/>
    </xf>
    <xf numFmtId="1" fontId="5" fillId="2" borderId="2" xfId="0" applyNumberFormat="1" applyFont="1" applyFill="1" applyBorder="1"/>
    <xf numFmtId="1" fontId="5" fillId="2" borderId="2" xfId="0" applyNumberFormat="1" applyFont="1" applyFill="1" applyBorder="1" applyAlignment="1">
      <alignment horizontal="center"/>
    </xf>
    <xf numFmtId="10" fontId="0" fillId="0" borderId="0" xfId="1" applyNumberFormat="1" applyFont="1" applyFill="1"/>
  </cellXfs>
  <cellStyles count="6">
    <cellStyle name="Calculation" xfId="4" builtinId="22"/>
    <cellStyle name="Currency" xfId="5" builtinId="4"/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49"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14" formatCode="0.0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14" formatCode="0.0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1" formatCode="0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1" formatCode="0"/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family val="2"/>
        <scheme val="minor"/>
      </font>
      <numFmt numFmtId="13" formatCode="0%"/>
      <fill>
        <patternFill patternType="solid">
          <fgColor indexed="64"/>
          <bgColor rgb="FFF2F2F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" formatCode="0"/>
    </dxf>
    <dxf>
      <numFmt numFmtId="1" formatCode="0"/>
    </dxf>
    <dxf>
      <border outline="0">
        <bottom style="double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Sales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Data!$C$72</c:f>
              <c:numCache>
                <c:formatCode>_("$"* #,##0.00_);_("$"* \(#,##0.00\);_("$"* "-"??_);_(@_)</c:formatCode>
                <c:ptCount val="1"/>
                <c:pt idx="0">
                  <c:v>39373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3-4BB5-80DA-D083790248E5}"/>
            </c:ext>
          </c:extLst>
        </c:ser>
        <c:ser>
          <c:idx val="1"/>
          <c:order val="1"/>
          <c:tx>
            <c:strRef>
              <c:f>Data!$E$78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Data!$C$86</c:f>
              <c:numCache>
                <c:formatCode>_("$"* #,##0.00_);_("$"* \(#,##0.00\);_("$"* "-"??_);_(@_)</c:formatCode>
                <c:ptCount val="1"/>
                <c:pt idx="0">
                  <c:v>13223.125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83-4BB5-80DA-D083790248E5}"/>
            </c:ext>
          </c:extLst>
        </c:ser>
        <c:ser>
          <c:idx val="2"/>
          <c:order val="2"/>
          <c:tx>
            <c:strRef>
              <c:f>Data!$E$92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Data!$C$98</c:f>
              <c:numCache>
                <c:formatCode>_("$"* #,##0.00_);_("$"* \(#,##0.00\);_("$"* "-"??_);_(@_)</c:formatCode>
                <c:ptCount val="1"/>
                <c:pt idx="0">
                  <c:v>18038.5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83-4BB5-80DA-D083790248E5}"/>
            </c:ext>
          </c:extLst>
        </c:ser>
        <c:ser>
          <c:idx val="3"/>
          <c:order val="3"/>
          <c:tx>
            <c:strRef>
              <c:f>Data!$E$104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Data!$C$115</c:f>
              <c:numCache>
                <c:formatCode>_("$"* #,##0.00_);_("$"* \(#,##0.00\);_("$"* "-"??_);_(@_)</c:formatCode>
                <c:ptCount val="1"/>
                <c:pt idx="0">
                  <c:v>37483.36363636364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83-4BB5-80DA-D083790248E5}"/>
            </c:ext>
          </c:extLst>
        </c:ser>
        <c:ser>
          <c:idx val="4"/>
          <c:order val="4"/>
          <c:tx>
            <c:strRef>
              <c:f>Data!$E$121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Data!$C$133</c:f>
              <c:numCache>
                <c:formatCode>_("$"* #,##0.00_);_("$"* \(#,##0.00\);_("$"* "-"??_);_(@_)</c:formatCode>
                <c:ptCount val="1"/>
                <c:pt idx="0">
                  <c:v>24165.916666666668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83-4BB5-80DA-D083790248E5}"/>
            </c:ext>
          </c:extLst>
        </c:ser>
        <c:ser>
          <c:idx val="5"/>
          <c:order val="5"/>
          <c:tx>
            <c:strRef>
              <c:f>Data!$E$139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Data!$C$145</c:f>
              <c:numCache>
                <c:formatCode>_("$"* #,##0.00_);_("$"* \(#,##0.00\);_("$"* "-"??_);_(@_)</c:formatCode>
                <c:ptCount val="1"/>
                <c:pt idx="0">
                  <c:v>46611.833333333336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83-4BB5-80DA-D083790248E5}"/>
            </c:ext>
          </c:extLst>
        </c:ser>
        <c:ser>
          <c:idx val="6"/>
          <c:order val="6"/>
          <c:tx>
            <c:strRef>
              <c:f>Data!$E$151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Data!$C$164</c:f>
              <c:numCache>
                <c:formatCode>_("$"* #,##0.00_);_("$"* \(#,##0.00\);_("$"* "-"??_);_(@_)</c:formatCode>
                <c:ptCount val="1"/>
                <c:pt idx="0">
                  <c:v>11346.384615384615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83-4BB5-80DA-D083790248E5}"/>
            </c:ext>
          </c:extLst>
        </c:ser>
        <c:ser>
          <c:idx val="7"/>
          <c:order val="7"/>
          <c:tx>
            <c:v>Average</c:v>
          </c:tx>
          <c:spPr>
            <a:pattFill prst="pct7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Data!$C$62</c:f>
              <c:numCache>
                <c:formatCode>_("$"* #,##0.00_);_("$"* \(#,##0.00\);_("$"* "-"??_);_(@_)</c:formatCode>
                <c:ptCount val="1"/>
                <c:pt idx="0">
                  <c:v>25016.5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283-4BB5-80DA-D083790248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0611263"/>
        <c:axId val="1660611679"/>
      </c:barChart>
      <c:catAx>
        <c:axId val="166061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11679"/>
        <c:crosses val="autoZero"/>
        <c:auto val="1"/>
        <c:lblAlgn val="ctr"/>
        <c:lblOffset val="100"/>
        <c:noMultiLvlLbl val="0"/>
      </c:catAx>
      <c:valAx>
        <c:axId val="16606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7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Data!$K$150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Data!$J$151:$J$155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Data!$K$151:$K$155</c:f>
              <c:numCache>
                <c:formatCode>_("$"* #,##0.00_);_("$"* \(#,##0.00\);_("$"* "-"??_);_(@_)</c:formatCode>
                <c:ptCount val="5"/>
                <c:pt idx="0">
                  <c:v>11127.41</c:v>
                </c:pt>
                <c:pt idx="1">
                  <c:v>15742.17</c:v>
                </c:pt>
                <c:pt idx="2">
                  <c:v>3465.665</c:v>
                </c:pt>
                <c:pt idx="3">
                  <c:v>487.8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BB5-9C21-F20E165A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83455"/>
        <c:axId val="1033583871"/>
      </c:areaChart>
      <c:catAx>
        <c:axId val="103358345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83871"/>
        <c:crosses val="autoZero"/>
        <c:auto val="1"/>
        <c:lblAlgn val="ctr"/>
        <c:lblOffset val="100"/>
        <c:noMultiLvlLbl val="0"/>
      </c:catAx>
      <c:valAx>
        <c:axId val="1033583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3358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Data!$M$1</c:f>
              <c:strCache>
                <c:ptCount val="1"/>
                <c:pt idx="0">
                  <c:v> Profits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50-47A3-AE81-5C4030C48F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C50-47A3-AE81-5C4030C48F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C50-47A3-AE81-5C4030C48F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50-47A3-AE81-5C4030C48F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50-47A3-AE81-5C4030C48F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C50-47A3-AE81-5C4030C48F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C50-47A3-AE81-5C4030C48F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Data!$K$2:$K$8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Data!$M$2:$M$8</c:f>
              <c:numCache>
                <c:formatCode>_("$"* #,##0.00_);_("$"* \(#,##0.00\);_("$"* "-"??_);_(@_)</c:formatCode>
                <c:ptCount val="7"/>
                <c:pt idx="0">
                  <c:v>23416.43</c:v>
                </c:pt>
                <c:pt idx="1">
                  <c:v>16210.47</c:v>
                </c:pt>
                <c:pt idx="2">
                  <c:v>12995.750000000002</c:v>
                </c:pt>
                <c:pt idx="3">
                  <c:v>54689.25</c:v>
                </c:pt>
                <c:pt idx="4">
                  <c:v>64797.100000000006</c:v>
                </c:pt>
                <c:pt idx="5">
                  <c:v>51417.83</c:v>
                </c:pt>
                <c:pt idx="6">
                  <c:v>30823.044999999998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C-4E76-83A0-A353F99701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Data!$L$1</c:f>
              <c:strCache>
                <c:ptCount val="1"/>
                <c:pt idx="0">
                  <c:v> Sales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45-42F7-9CC4-DA58BB90D0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45-42F7-9CC4-DA58BB90D0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45-42F7-9CC4-DA58BB90D0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45-42F7-9CC4-DA58BB90D0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45-42F7-9CC4-DA58BB90D0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045-42F7-9CC4-DA58BB90D0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045-42F7-9CC4-DA58BB90D0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Data!$K$2:$K$8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Data!$L$2:$L$8</c:f>
              <c:numCache>
                <c:formatCode>_("$"* #,##0.00_);_("$"* \(#,##0.00\);_("$"* "-"??_);_(@_)</c:formatCode>
                <c:ptCount val="7"/>
                <c:pt idx="0">
                  <c:v>157492</c:v>
                </c:pt>
                <c:pt idx="1">
                  <c:v>105785</c:v>
                </c:pt>
                <c:pt idx="2">
                  <c:v>108231</c:v>
                </c:pt>
                <c:pt idx="3">
                  <c:v>412317</c:v>
                </c:pt>
                <c:pt idx="4">
                  <c:v>289991</c:v>
                </c:pt>
                <c:pt idx="5">
                  <c:v>279671</c:v>
                </c:pt>
                <c:pt idx="6">
                  <c:v>147503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7-4FF9-A6C0-000F13D6A5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Total Profit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Data!$N$1</c:f>
              <c:strCache>
                <c:ptCount val="1"/>
                <c:pt idx="0">
                  <c:v>% of Total Profit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7-468A-914E-2FD16A71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7-468A-914E-2FD16A71AF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7-468A-914E-2FD16A71AF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7-468A-914E-2FD16A71AF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A7-468A-914E-2FD16A71AF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A7-468A-914E-2FD16A71AF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A7-468A-914E-2FD16A71AF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Data!$N$2:$N$8</c:f>
              <c:numCache>
                <c:formatCode>0%</c:formatCode>
                <c:ptCount val="7"/>
                <c:pt idx="0">
                  <c:v>9.2063854955698327E-2</c:v>
                </c:pt>
                <c:pt idx="1">
                  <c:v>6.3732958390484762E-2</c:v>
                </c:pt>
                <c:pt idx="2">
                  <c:v>5.1093990118925757E-2</c:v>
                </c:pt>
                <c:pt idx="3">
                  <c:v>0.21501583203058386</c:v>
                </c:pt>
                <c:pt idx="4">
                  <c:v>0.25475577686051548</c:v>
                </c:pt>
                <c:pt idx="5">
                  <c:v>0.20215394247785654</c:v>
                </c:pt>
                <c:pt idx="6">
                  <c:v>0.1211836451659353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0-42C0-B6BE-B738CEF07A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Data!$L$2:$L$8</c:f>
              <c:numCache>
                <c:formatCode>_("$"* #,##0.00_);_("$"* \(#,##0.00\);_("$"* "-"??_);_(@_)</c:formatCode>
                <c:ptCount val="7"/>
                <c:pt idx="0">
                  <c:v>157492</c:v>
                </c:pt>
                <c:pt idx="1">
                  <c:v>105785</c:v>
                </c:pt>
                <c:pt idx="2">
                  <c:v>108231</c:v>
                </c:pt>
                <c:pt idx="3">
                  <c:v>412317</c:v>
                </c:pt>
                <c:pt idx="4">
                  <c:v>289991</c:v>
                </c:pt>
                <c:pt idx="5">
                  <c:v>279671</c:v>
                </c:pt>
                <c:pt idx="6">
                  <c:v>147503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7-468A-9EF6-E1CEAF11FEAA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 Profits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Data!$M$2:$M$8</c:f>
              <c:numCache>
                <c:formatCode>_("$"* #,##0.00_);_("$"* \(#,##0.00\);_("$"* "-"??_);_(@_)</c:formatCode>
                <c:ptCount val="7"/>
                <c:pt idx="0">
                  <c:v>23416.43</c:v>
                </c:pt>
                <c:pt idx="1">
                  <c:v>16210.47</c:v>
                </c:pt>
                <c:pt idx="2">
                  <c:v>12995.750000000002</c:v>
                </c:pt>
                <c:pt idx="3">
                  <c:v>54689.25</c:v>
                </c:pt>
                <c:pt idx="4">
                  <c:v>64797.100000000006</c:v>
                </c:pt>
                <c:pt idx="5">
                  <c:v>51417.83</c:v>
                </c:pt>
                <c:pt idx="6">
                  <c:v>30823.044999999998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68A-9EF6-E1CEAF11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091199"/>
        <c:axId val="1935089535"/>
      </c:barChart>
      <c:catAx>
        <c:axId val="19350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89535"/>
        <c:crosses val="autoZero"/>
        <c:auto val="1"/>
        <c:lblAlgn val="ctr"/>
        <c:lblOffset val="100"/>
        <c:noMultiLvlLbl val="0"/>
      </c:catAx>
      <c:valAx>
        <c:axId val="19350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0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Margin ove</a:t>
            </a:r>
            <a:r>
              <a:rPr lang="en-US" baseline="0"/>
              <a:t>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 Percent Gross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Data!$B$2:$B$61</c:f>
              <c:numCache>
                <c:formatCode>0%</c:formatCode>
                <c:ptCount val="60"/>
                <c:pt idx="0">
                  <c:v>0.51</c:v>
                </c:pt>
                <c:pt idx="1">
                  <c:v>0.32</c:v>
                </c:pt>
                <c:pt idx="2">
                  <c:v>0.2</c:v>
                </c:pt>
                <c:pt idx="3">
                  <c:v>0.22</c:v>
                </c:pt>
                <c:pt idx="4">
                  <c:v>0.21</c:v>
                </c:pt>
                <c:pt idx="5">
                  <c:v>0.21</c:v>
                </c:pt>
                <c:pt idx="6">
                  <c:v>0.22</c:v>
                </c:pt>
                <c:pt idx="7">
                  <c:v>0.34</c:v>
                </c:pt>
                <c:pt idx="8">
                  <c:v>0.26</c:v>
                </c:pt>
                <c:pt idx="9">
                  <c:v>0.16550000000000001</c:v>
                </c:pt>
                <c:pt idx="10">
                  <c:v>0.2</c:v>
                </c:pt>
                <c:pt idx="11">
                  <c:v>0.36</c:v>
                </c:pt>
                <c:pt idx="12">
                  <c:v>0.18</c:v>
                </c:pt>
                <c:pt idx="13">
                  <c:v>0.2</c:v>
                </c:pt>
                <c:pt idx="14">
                  <c:v>0.05</c:v>
                </c:pt>
                <c:pt idx="15">
                  <c:v>0.28999999999999998</c:v>
                </c:pt>
                <c:pt idx="16">
                  <c:v>0.1</c:v>
                </c:pt>
                <c:pt idx="17">
                  <c:v>0.37</c:v>
                </c:pt>
                <c:pt idx="18">
                  <c:v>0.6</c:v>
                </c:pt>
                <c:pt idx="19">
                  <c:v>0.24</c:v>
                </c:pt>
                <c:pt idx="20">
                  <c:v>0.09</c:v>
                </c:pt>
                <c:pt idx="21">
                  <c:v>0.5</c:v>
                </c:pt>
                <c:pt idx="22">
                  <c:v>0.17</c:v>
                </c:pt>
                <c:pt idx="23">
                  <c:v>0.32</c:v>
                </c:pt>
                <c:pt idx="24">
                  <c:v>0.15</c:v>
                </c:pt>
                <c:pt idx="25">
                  <c:v>0.1</c:v>
                </c:pt>
                <c:pt idx="26">
                  <c:v>0.13</c:v>
                </c:pt>
                <c:pt idx="27">
                  <c:v>0.22</c:v>
                </c:pt>
                <c:pt idx="28">
                  <c:v>0.17</c:v>
                </c:pt>
                <c:pt idx="29">
                  <c:v>0.19</c:v>
                </c:pt>
                <c:pt idx="30">
                  <c:v>0.06</c:v>
                </c:pt>
                <c:pt idx="31">
                  <c:v>0.23</c:v>
                </c:pt>
                <c:pt idx="32">
                  <c:v>0.23</c:v>
                </c:pt>
                <c:pt idx="33">
                  <c:v>0.14000000000000001</c:v>
                </c:pt>
                <c:pt idx="34">
                  <c:v>0.22</c:v>
                </c:pt>
                <c:pt idx="35">
                  <c:v>0.14000000000000001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0.03</c:v>
                </c:pt>
                <c:pt idx="39">
                  <c:v>0.46</c:v>
                </c:pt>
                <c:pt idx="40">
                  <c:v>0.26</c:v>
                </c:pt>
                <c:pt idx="41">
                  <c:v>0.11</c:v>
                </c:pt>
                <c:pt idx="42">
                  <c:v>0.18</c:v>
                </c:pt>
                <c:pt idx="43">
                  <c:v>0.37</c:v>
                </c:pt>
                <c:pt idx="44">
                  <c:v>0.2</c:v>
                </c:pt>
                <c:pt idx="45">
                  <c:v>0.21</c:v>
                </c:pt>
                <c:pt idx="46">
                  <c:v>0.1</c:v>
                </c:pt>
                <c:pt idx="47">
                  <c:v>0.14000000000000001</c:v>
                </c:pt>
                <c:pt idx="48">
                  <c:v>0.09</c:v>
                </c:pt>
                <c:pt idx="49">
                  <c:v>0.16</c:v>
                </c:pt>
                <c:pt idx="50">
                  <c:v>0.22</c:v>
                </c:pt>
                <c:pt idx="51">
                  <c:v>0.21</c:v>
                </c:pt>
                <c:pt idx="52">
                  <c:v>0.17</c:v>
                </c:pt>
                <c:pt idx="53">
                  <c:v>0.11</c:v>
                </c:pt>
                <c:pt idx="54">
                  <c:v>7.0000000000000007E-2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0.13</c:v>
                </c:pt>
                <c:pt idx="58">
                  <c:v>0.21</c:v>
                </c:pt>
                <c:pt idx="5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7-4157-A1AF-71DD91F2E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906975"/>
        <c:axId val="1605923615"/>
      </c:lineChart>
      <c:catAx>
        <c:axId val="16059069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23615"/>
        <c:crosses val="autoZero"/>
        <c:auto val="1"/>
        <c:lblAlgn val="ctr"/>
        <c:lblOffset val="100"/>
        <c:noMultiLvlLbl val="0"/>
      </c:catAx>
      <c:valAx>
        <c:axId val="16059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90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and Profits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 Gross 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Data!$A$2:$A$61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Data!$C$2:$C$61</c:f>
              <c:numCache>
                <c:formatCode>_("$"* #,##0.00_);_("$"* \(#,##0.00\);_("$"* "-"??_);_(@_)</c:formatCode>
                <c:ptCount val="60"/>
                <c:pt idx="0">
                  <c:v>170</c:v>
                </c:pt>
                <c:pt idx="1">
                  <c:v>181</c:v>
                </c:pt>
                <c:pt idx="2">
                  <c:v>203</c:v>
                </c:pt>
                <c:pt idx="3">
                  <c:v>249</c:v>
                </c:pt>
                <c:pt idx="4">
                  <c:v>476</c:v>
                </c:pt>
                <c:pt idx="5">
                  <c:v>476</c:v>
                </c:pt>
                <c:pt idx="6">
                  <c:v>635</c:v>
                </c:pt>
                <c:pt idx="7">
                  <c:v>856</c:v>
                </c:pt>
                <c:pt idx="8">
                  <c:v>1062</c:v>
                </c:pt>
                <c:pt idx="9">
                  <c:v>1110</c:v>
                </c:pt>
                <c:pt idx="10">
                  <c:v>1153</c:v>
                </c:pt>
                <c:pt idx="11">
                  <c:v>1392</c:v>
                </c:pt>
                <c:pt idx="12">
                  <c:v>1743</c:v>
                </c:pt>
                <c:pt idx="13">
                  <c:v>2307</c:v>
                </c:pt>
                <c:pt idx="14">
                  <c:v>2534</c:v>
                </c:pt>
                <c:pt idx="15">
                  <c:v>2683</c:v>
                </c:pt>
                <c:pt idx="16">
                  <c:v>2780</c:v>
                </c:pt>
                <c:pt idx="17">
                  <c:v>3272</c:v>
                </c:pt>
                <c:pt idx="18">
                  <c:v>3864</c:v>
                </c:pt>
                <c:pt idx="19">
                  <c:v>3988</c:v>
                </c:pt>
                <c:pt idx="20">
                  <c:v>4072</c:v>
                </c:pt>
                <c:pt idx="21">
                  <c:v>4190</c:v>
                </c:pt>
                <c:pt idx="22">
                  <c:v>4219</c:v>
                </c:pt>
                <c:pt idx="23">
                  <c:v>4711</c:v>
                </c:pt>
                <c:pt idx="24">
                  <c:v>4824</c:v>
                </c:pt>
                <c:pt idx="25">
                  <c:v>4878</c:v>
                </c:pt>
                <c:pt idx="26">
                  <c:v>5157</c:v>
                </c:pt>
                <c:pt idx="27">
                  <c:v>5552</c:v>
                </c:pt>
                <c:pt idx="28">
                  <c:v>5876</c:v>
                </c:pt>
                <c:pt idx="29">
                  <c:v>5888</c:v>
                </c:pt>
                <c:pt idx="30">
                  <c:v>7632</c:v>
                </c:pt>
                <c:pt idx="31">
                  <c:v>8058</c:v>
                </c:pt>
                <c:pt idx="32">
                  <c:v>12056</c:v>
                </c:pt>
                <c:pt idx="33">
                  <c:v>12981</c:v>
                </c:pt>
                <c:pt idx="34">
                  <c:v>13406</c:v>
                </c:pt>
                <c:pt idx="35">
                  <c:v>15882</c:v>
                </c:pt>
                <c:pt idx="36">
                  <c:v>16343</c:v>
                </c:pt>
                <c:pt idx="37">
                  <c:v>19985</c:v>
                </c:pt>
                <c:pt idx="38">
                  <c:v>20160</c:v>
                </c:pt>
                <c:pt idx="39">
                  <c:v>26616</c:v>
                </c:pt>
                <c:pt idx="40">
                  <c:v>28018</c:v>
                </c:pt>
                <c:pt idx="41">
                  <c:v>28950</c:v>
                </c:pt>
                <c:pt idx="42">
                  <c:v>29646</c:v>
                </c:pt>
                <c:pt idx="43">
                  <c:v>31019</c:v>
                </c:pt>
                <c:pt idx="44">
                  <c:v>31305</c:v>
                </c:pt>
                <c:pt idx="45">
                  <c:v>34769</c:v>
                </c:pt>
                <c:pt idx="46">
                  <c:v>34817</c:v>
                </c:pt>
                <c:pt idx="47">
                  <c:v>38609</c:v>
                </c:pt>
                <c:pt idx="48">
                  <c:v>38923</c:v>
                </c:pt>
                <c:pt idx="49">
                  <c:v>40536</c:v>
                </c:pt>
                <c:pt idx="50">
                  <c:v>54851</c:v>
                </c:pt>
                <c:pt idx="51">
                  <c:v>54861</c:v>
                </c:pt>
                <c:pt idx="52">
                  <c:v>58063</c:v>
                </c:pt>
                <c:pt idx="53">
                  <c:v>62862</c:v>
                </c:pt>
                <c:pt idx="54">
                  <c:v>78574</c:v>
                </c:pt>
                <c:pt idx="55">
                  <c:v>92776</c:v>
                </c:pt>
                <c:pt idx="56">
                  <c:v>112837</c:v>
                </c:pt>
                <c:pt idx="57">
                  <c:v>115999</c:v>
                </c:pt>
                <c:pt idx="58">
                  <c:v>120854</c:v>
                </c:pt>
                <c:pt idx="59">
                  <c:v>179101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3C-A0A1-145B4E95C2D7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 Gross Profit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Data!$A$2:$A$61</c:f>
              <c:numCache>
                <c:formatCode>0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Data!$D$2:$D$61</c:f>
              <c:numCache>
                <c:formatCode>_("$"* #,##0.00_);_("$"* \(#,##0.00\);_("$"* "-"??_);_(@_)</c:formatCode>
                <c:ptCount val="60"/>
                <c:pt idx="0">
                  <c:v>86.7</c:v>
                </c:pt>
                <c:pt idx="1">
                  <c:v>57.92</c:v>
                </c:pt>
                <c:pt idx="2">
                  <c:v>40.6</c:v>
                </c:pt>
                <c:pt idx="3">
                  <c:v>54.78</c:v>
                </c:pt>
                <c:pt idx="4">
                  <c:v>99.96</c:v>
                </c:pt>
                <c:pt idx="5">
                  <c:v>99.96</c:v>
                </c:pt>
                <c:pt idx="6">
                  <c:v>139.69999999999999</c:v>
                </c:pt>
                <c:pt idx="7">
                  <c:v>291.04000000000002</c:v>
                </c:pt>
                <c:pt idx="8">
                  <c:v>276.12</c:v>
                </c:pt>
                <c:pt idx="9">
                  <c:v>183.70500000000001</c:v>
                </c:pt>
                <c:pt idx="10">
                  <c:v>230.60000000000002</c:v>
                </c:pt>
                <c:pt idx="11">
                  <c:v>501.12</c:v>
                </c:pt>
                <c:pt idx="12">
                  <c:v>313.74</c:v>
                </c:pt>
                <c:pt idx="13">
                  <c:v>461.40000000000003</c:v>
                </c:pt>
                <c:pt idx="14">
                  <c:v>126.7</c:v>
                </c:pt>
                <c:pt idx="15">
                  <c:v>778.06999999999994</c:v>
                </c:pt>
                <c:pt idx="16">
                  <c:v>278</c:v>
                </c:pt>
                <c:pt idx="17">
                  <c:v>1210.6399999999999</c:v>
                </c:pt>
                <c:pt idx="18">
                  <c:v>2318.4</c:v>
                </c:pt>
                <c:pt idx="19">
                  <c:v>957.12</c:v>
                </c:pt>
                <c:pt idx="20">
                  <c:v>366.47999999999996</c:v>
                </c:pt>
                <c:pt idx="21">
                  <c:v>2095</c:v>
                </c:pt>
                <c:pt idx="22">
                  <c:v>717.23</c:v>
                </c:pt>
                <c:pt idx="23">
                  <c:v>1507.52</c:v>
                </c:pt>
                <c:pt idx="24">
                  <c:v>723.6</c:v>
                </c:pt>
                <c:pt idx="25">
                  <c:v>487.8</c:v>
                </c:pt>
                <c:pt idx="26">
                  <c:v>670.41</c:v>
                </c:pt>
                <c:pt idx="27">
                  <c:v>1221.44</c:v>
                </c:pt>
                <c:pt idx="28">
                  <c:v>998.92000000000007</c:v>
                </c:pt>
                <c:pt idx="29">
                  <c:v>1118.72</c:v>
                </c:pt>
                <c:pt idx="30">
                  <c:v>457.91999999999996</c:v>
                </c:pt>
                <c:pt idx="31">
                  <c:v>1853.3400000000001</c:v>
                </c:pt>
                <c:pt idx="32">
                  <c:v>2772.88</c:v>
                </c:pt>
                <c:pt idx="33">
                  <c:v>1817.3400000000001</c:v>
                </c:pt>
                <c:pt idx="34">
                  <c:v>2949.32</c:v>
                </c:pt>
                <c:pt idx="35">
                  <c:v>2223.48</c:v>
                </c:pt>
                <c:pt idx="36">
                  <c:v>4576.0400000000009</c:v>
                </c:pt>
                <c:pt idx="37">
                  <c:v>5395.9500000000007</c:v>
                </c:pt>
                <c:pt idx="38">
                  <c:v>604.79999999999995</c:v>
                </c:pt>
                <c:pt idx="39">
                  <c:v>12243.36</c:v>
                </c:pt>
                <c:pt idx="40">
                  <c:v>7284.68</c:v>
                </c:pt>
                <c:pt idx="41">
                  <c:v>3184.5</c:v>
                </c:pt>
                <c:pt idx="42">
                  <c:v>5336.28</c:v>
                </c:pt>
                <c:pt idx="43">
                  <c:v>11477.03</c:v>
                </c:pt>
                <c:pt idx="44">
                  <c:v>6261</c:v>
                </c:pt>
                <c:pt idx="45">
                  <c:v>7301.49</c:v>
                </c:pt>
                <c:pt idx="46">
                  <c:v>3481.7000000000003</c:v>
                </c:pt>
                <c:pt idx="47">
                  <c:v>5405.26</c:v>
                </c:pt>
                <c:pt idx="48">
                  <c:v>3503.0699999999997</c:v>
                </c:pt>
                <c:pt idx="49">
                  <c:v>6485.76</c:v>
                </c:pt>
                <c:pt idx="50">
                  <c:v>12067.22</c:v>
                </c:pt>
                <c:pt idx="51">
                  <c:v>11520.81</c:v>
                </c:pt>
                <c:pt idx="52">
                  <c:v>9870.7100000000009</c:v>
                </c:pt>
                <c:pt idx="53">
                  <c:v>6914.82</c:v>
                </c:pt>
                <c:pt idx="54">
                  <c:v>5500.18</c:v>
                </c:pt>
                <c:pt idx="55">
                  <c:v>12988.640000000001</c:v>
                </c:pt>
                <c:pt idx="56">
                  <c:v>16925.55</c:v>
                </c:pt>
                <c:pt idx="57">
                  <c:v>15079.87</c:v>
                </c:pt>
                <c:pt idx="58">
                  <c:v>25379.34</c:v>
                </c:pt>
                <c:pt idx="59">
                  <c:v>25074.140000000003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3C-A0A1-145B4E9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97471"/>
        <c:axId val="1943500799"/>
      </c:lineChart>
      <c:catAx>
        <c:axId val="194349747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500799"/>
        <c:crosses val="autoZero"/>
        <c:auto val="1"/>
        <c:lblAlgn val="ctr"/>
        <c:lblOffset val="100"/>
        <c:noMultiLvlLbl val="0"/>
      </c:catAx>
      <c:valAx>
        <c:axId val="1943500799"/>
        <c:scaling>
          <c:orientation val="minMax"/>
          <c:max val="1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4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</a:t>
            </a:r>
            <a:r>
              <a:rPr lang="en-US" baseline="0"/>
              <a:t> % Total Profit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% of Total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Data!$H$2:$H$61</c:f>
              <c:numCache>
                <c:formatCode>0.00%</c:formatCode>
                <c:ptCount val="60"/>
                <c:pt idx="0">
                  <c:v>3.4086904898223363E-4</c:v>
                </c:pt>
                <c:pt idx="1">
                  <c:v>2.277178237260781E-4</c:v>
                </c:pt>
                <c:pt idx="2">
                  <c:v>1.5962264577484066E-4</c:v>
                </c:pt>
                <c:pt idx="3">
                  <c:v>2.1537262402822097E-4</c:v>
                </c:pt>
                <c:pt idx="4">
                  <c:v>3.9300196235598697E-4</c:v>
                </c:pt>
                <c:pt idx="5">
                  <c:v>3.9300196235598697E-4</c:v>
                </c:pt>
                <c:pt idx="6">
                  <c:v>5.4924343878682853E-4</c:v>
                </c:pt>
                <c:pt idx="7">
                  <c:v>1.1442506114854589E-3</c:v>
                </c:pt>
                <c:pt idx="8">
                  <c:v>1.085591254959335E-3</c:v>
                </c:pt>
                <c:pt idx="9">
                  <c:v>7.2225315620854942E-4</c:v>
                </c:pt>
                <c:pt idx="10">
                  <c:v>9.0662517526301134E-4</c:v>
                </c:pt>
                <c:pt idx="11">
                  <c:v>1.9701995135637477E-3</c:v>
                </c:pt>
                <c:pt idx="12">
                  <c:v>1.2334977557979928E-3</c:v>
                </c:pt>
                <c:pt idx="13">
                  <c:v>1.8140366689781155E-3</c:v>
                </c:pt>
                <c:pt idx="14">
                  <c:v>4.9813273940079589E-4</c:v>
                </c:pt>
                <c:pt idx="15">
                  <c:v>3.0590539900992677E-3</c:v>
                </c:pt>
                <c:pt idx="16">
                  <c:v>1.0929826484090074E-3</c:v>
                </c:pt>
                <c:pt idx="17">
                  <c:v>4.7597428542082041E-3</c:v>
                </c:pt>
                <c:pt idx="18">
                  <c:v>9.1150034966598677E-3</c:v>
                </c:pt>
                <c:pt idx="19">
                  <c:v>3.7630055843353568E-3</c:v>
                </c:pt>
                <c:pt idx="20">
                  <c:v>1.440849931614867E-3</c:v>
                </c:pt>
                <c:pt idx="21">
                  <c:v>8.2366857856721962E-3</c:v>
                </c:pt>
                <c:pt idx="22">
                  <c:v>2.8198559169726346E-3</c:v>
                </c:pt>
                <c:pt idx="23">
                  <c:v>5.9269539644947735E-3</c:v>
                </c:pt>
                <c:pt idx="24">
                  <c:v>2.8449001596717906E-3</c:v>
                </c:pt>
                <c:pt idx="25">
                  <c:v>1.9178307046543665E-3</c:v>
                </c:pt>
                <c:pt idx="26">
                  <c:v>2.6357787673377073E-3</c:v>
                </c:pt>
                <c:pt idx="27">
                  <c:v>4.8022040506212164E-3</c:v>
                </c:pt>
                <c:pt idx="28">
                  <c:v>3.9273461408227545E-3</c:v>
                </c:pt>
                <c:pt idx="29">
                  <c:v>4.3983508936263488E-3</c:v>
                </c:pt>
                <c:pt idx="30">
                  <c:v>1.8003547279117002E-3</c:v>
                </c:pt>
                <c:pt idx="31">
                  <c:v>7.2865772000084532E-3</c:v>
                </c:pt>
                <c:pt idx="32">
                  <c:v>1.0901833547195572E-2</c:v>
                </c:pt>
                <c:pt idx="33">
                  <c:v>7.1450398786317478E-3</c:v>
                </c:pt>
                <c:pt idx="34">
                  <c:v>1.159552368563185E-2</c:v>
                </c:pt>
                <c:pt idx="35">
                  <c:v>8.7418167592966181E-3</c:v>
                </c:pt>
                <c:pt idx="36">
                  <c:v>1.7991123447573941E-2</c:v>
                </c:pt>
                <c:pt idx="37">
                  <c:v>2.1214675257851024E-2</c:v>
                </c:pt>
                <c:pt idx="38">
                  <c:v>2.3778269991286609E-3</c:v>
                </c:pt>
                <c:pt idx="39">
                  <c:v>4.8135899418075202E-2</c:v>
                </c:pt>
                <c:pt idx="40">
                  <c:v>2.8640391507957299E-2</c:v>
                </c:pt>
                <c:pt idx="41">
                  <c:v>1.2520155553447786E-2</c:v>
                </c:pt>
                <c:pt idx="42">
                  <c:v>2.098007714766913E-2</c:v>
                </c:pt>
                <c:pt idx="43">
                  <c:v>4.5123002321113784E-2</c:v>
                </c:pt>
                <c:pt idx="44">
                  <c:v>2.4615699142765454E-2</c:v>
                </c:pt>
                <c:pt idx="45">
                  <c:v>2.8706481573855698E-2</c:v>
                </c:pt>
                <c:pt idx="46">
                  <c:v>1.3688624773257704E-2</c:v>
                </c:pt>
                <c:pt idx="47">
                  <c:v>2.1251278381795944E-2</c:v>
                </c:pt>
                <c:pt idx="48">
                  <c:v>1.3772642899863819E-2</c:v>
                </c:pt>
                <c:pt idx="49">
                  <c:v>2.5499363819227353E-2</c:v>
                </c:pt>
                <c:pt idx="50">
                  <c:v>4.7443388757317059E-2</c:v>
                </c:pt>
                <c:pt idx="51">
                  <c:v>4.5295127430276895E-2</c:v>
                </c:pt>
                <c:pt idx="52">
                  <c:v>3.8807607041285164E-2</c:v>
                </c:pt>
                <c:pt idx="53">
                  <c:v>2.7186252794502059E-2</c:v>
                </c:pt>
                <c:pt idx="54">
                  <c:v>2.1624465119159192E-2</c:v>
                </c:pt>
                <c:pt idx="55">
                  <c:v>5.1066036497953854E-2</c:v>
                </c:pt>
                <c:pt idx="56">
                  <c:v>6.6544361384097389E-2</c:v>
                </c:pt>
                <c:pt idx="57">
                  <c:v>5.9287900180804105E-2</c:v>
                </c:pt>
                <c:pt idx="58">
                  <c:v>9.9781216719685831E-2</c:v>
                </c:pt>
                <c:pt idx="59">
                  <c:v>9.8581294761792213E-2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6-4456-8587-69AC9A94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44767"/>
        <c:axId val="1826272223"/>
      </c:lineChart>
      <c:catAx>
        <c:axId val="182624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72223"/>
        <c:crosses val="autoZero"/>
        <c:auto val="1"/>
        <c:lblAlgn val="ctr"/>
        <c:lblOffset val="100"/>
        <c:noMultiLvlLbl val="0"/>
      </c:catAx>
      <c:valAx>
        <c:axId val="182627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4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Competition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Data!$E$68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Data!$K$68:$K$72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86.7</c:v>
                </c:pt>
                <c:pt idx="2">
                  <c:v>6404.18</c:v>
                </c:pt>
                <c:pt idx="3">
                  <c:v>16925.55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6-4DF2-8E77-02280E82E0BA}"/>
            </c:ext>
          </c:extLst>
        </c:ser>
        <c:ser>
          <c:idx val="4"/>
          <c:order val="1"/>
          <c:tx>
            <c:strRef>
              <c:f>Data!$E$78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Data!$K$78:$K$82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40.6</c:v>
                </c:pt>
                <c:pt idx="2">
                  <c:v>10849.46</c:v>
                </c:pt>
                <c:pt idx="3">
                  <c:v>1817.3400000000001</c:v>
                </c:pt>
                <c:pt idx="4">
                  <c:v>3503.0699999999997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6-4DF2-8E77-02280E82E0BA}"/>
            </c:ext>
          </c:extLst>
        </c:ser>
        <c:ser>
          <c:idx val="5"/>
          <c:order val="2"/>
          <c:tx>
            <c:strRef>
              <c:f>Data!$E$92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Data!$K$92:$K$96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6720.420000000001</c:v>
                </c:pt>
                <c:pt idx="3">
                  <c:v>775.15</c:v>
                </c:pt>
                <c:pt idx="4">
                  <c:v>5500.18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B6-4DF2-8E77-02280E82E0BA}"/>
            </c:ext>
          </c:extLst>
        </c:ser>
        <c:ser>
          <c:idx val="6"/>
          <c:order val="3"/>
          <c:tx>
            <c:strRef>
              <c:f>Data!$E$104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Data!$K$104:$K$108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1090.98</c:v>
                </c:pt>
                <c:pt idx="2">
                  <c:v>28292.38</c:v>
                </c:pt>
                <c:pt idx="3">
                  <c:v>3184.5</c:v>
                </c:pt>
                <c:pt idx="4">
                  <c:v>22121.39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B6-4DF2-8E77-02280E82E0BA}"/>
            </c:ext>
          </c:extLst>
        </c:ser>
        <c:ser>
          <c:idx val="0"/>
          <c:order val="4"/>
          <c:tx>
            <c:strRef>
              <c:f>Data!$E$121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Data!$K$121:$K$125</c:f>
              <c:numCache>
                <c:formatCode>_("$"* #,##0.00_);_("$"* \(#,##0.00\);_("$"* "-"??_);_(@_)</c:formatCode>
                <c:ptCount val="5"/>
                <c:pt idx="0">
                  <c:v>154.74</c:v>
                </c:pt>
                <c:pt idx="1">
                  <c:v>12243.36</c:v>
                </c:pt>
                <c:pt idx="2">
                  <c:v>15986.27</c:v>
                </c:pt>
                <c:pt idx="3">
                  <c:v>35807.93</c:v>
                </c:pt>
                <c:pt idx="4">
                  <c:v>604.79999999999995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4DF2-8E77-02280E82E0BA}"/>
            </c:ext>
          </c:extLst>
        </c:ser>
        <c:ser>
          <c:idx val="1"/>
          <c:order val="5"/>
          <c:tx>
            <c:strRef>
              <c:f>Data!$E$139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Data!$K$139:$K$143</c:f>
              <c:numCache>
                <c:formatCode>_("$"* #,##0.00_);_("$"* \(#,##0.00\);_("$"* "-"??_);_(@_)</c:formatCode>
                <c:ptCount val="5"/>
                <c:pt idx="0">
                  <c:v>11477.03</c:v>
                </c:pt>
                <c:pt idx="1">
                  <c:v>12067.22</c:v>
                </c:pt>
                <c:pt idx="2">
                  <c:v>26754.860000000004</c:v>
                </c:pt>
                <c:pt idx="3">
                  <c:v>1118.72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4DF2-8E77-02280E82E0BA}"/>
            </c:ext>
          </c:extLst>
        </c:ser>
        <c:ser>
          <c:idx val="2"/>
          <c:order val="6"/>
          <c:tx>
            <c:strRef>
              <c:f>Data!$E$151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Data!$K$151:$K$155</c:f>
              <c:numCache>
                <c:formatCode>_("$"* #,##0.00_);_("$"* \(#,##0.00\);_("$"* "-"??_);_(@_)</c:formatCode>
                <c:ptCount val="5"/>
                <c:pt idx="0">
                  <c:v>11127.41</c:v>
                </c:pt>
                <c:pt idx="1">
                  <c:v>15742.17</c:v>
                </c:pt>
                <c:pt idx="2">
                  <c:v>3465.665</c:v>
                </c:pt>
                <c:pt idx="3">
                  <c:v>487.8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4DF2-8E77-02280E82E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3456895"/>
        <c:axId val="1403456063"/>
      </c:lineChart>
      <c:catAx>
        <c:axId val="140345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56063"/>
        <c:crosses val="autoZero"/>
        <c:auto val="1"/>
        <c:lblAlgn val="ctr"/>
        <c:lblOffset val="100"/>
        <c:noMultiLvlLbl val="0"/>
      </c:catAx>
      <c:valAx>
        <c:axId val="1403456063"/>
        <c:scaling>
          <c:orientation val="minMax"/>
          <c:max val="3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4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Data!$D$72</c:f>
              <c:numCache>
                <c:formatCode>_("$"* #,##0.00_);_("$"* \(#,##0.00\);_("$"* "-"??_);_(@_)</c:formatCode>
                <c:ptCount val="1"/>
                <c:pt idx="0">
                  <c:v>5854.1075000000001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8-4797-B855-75B09C466750}"/>
            </c:ext>
          </c:extLst>
        </c:ser>
        <c:ser>
          <c:idx val="1"/>
          <c:order val="1"/>
          <c:tx>
            <c:strRef>
              <c:f>Data!$E$78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Data!$D$86</c:f>
              <c:numCache>
                <c:formatCode>_("$"* #,##0.00_);_("$"* \(#,##0.00\);_("$"* "-"??_);_(@_)</c:formatCode>
                <c:ptCount val="1"/>
                <c:pt idx="0">
                  <c:v>2026.3087499999999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8-4797-B855-75B09C466750}"/>
            </c:ext>
          </c:extLst>
        </c:ser>
        <c:ser>
          <c:idx val="2"/>
          <c:order val="2"/>
          <c:tx>
            <c:strRef>
              <c:f>Data!$E$92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Data!$D$98</c:f>
              <c:numCache>
                <c:formatCode>_("$"* #,##0.00_);_("$"* \(#,##0.00\);_("$"* "-"??_);_(@_)</c:formatCode>
                <c:ptCount val="1"/>
                <c:pt idx="0">
                  <c:v>2165.9583333333335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A8-4797-B855-75B09C466750}"/>
            </c:ext>
          </c:extLst>
        </c:ser>
        <c:ser>
          <c:idx val="3"/>
          <c:order val="3"/>
          <c:tx>
            <c:strRef>
              <c:f>Data!$E$104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Data!$D$115</c:f>
              <c:numCache>
                <c:formatCode>_("$"* #,##0.00_);_("$"* \(#,##0.00\);_("$"* "-"??_);_(@_)</c:formatCode>
                <c:ptCount val="1"/>
                <c:pt idx="0">
                  <c:v>4971.75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A8-4797-B855-75B09C466750}"/>
            </c:ext>
          </c:extLst>
        </c:ser>
        <c:ser>
          <c:idx val="4"/>
          <c:order val="4"/>
          <c:tx>
            <c:strRef>
              <c:f>Data!$E$121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Data!$D$133</c:f>
              <c:numCache>
                <c:formatCode>_("$"* #,##0.00_);_("$"* \(#,##0.00\);_("$"* "-"??_);_(@_)</c:formatCode>
                <c:ptCount val="1"/>
                <c:pt idx="0">
                  <c:v>5399.7583333333341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A8-4797-B855-75B09C466750}"/>
            </c:ext>
          </c:extLst>
        </c:ser>
        <c:ser>
          <c:idx val="5"/>
          <c:order val="5"/>
          <c:tx>
            <c:strRef>
              <c:f>Data!$E$139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Data!$D$145</c:f>
              <c:numCache>
                <c:formatCode>_("$"* #,##0.00_);_("$"* \(#,##0.00\);_("$"* "-"??_);_(@_)</c:formatCode>
                <c:ptCount val="1"/>
                <c:pt idx="0">
                  <c:v>8569.6383333333342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A8-4797-B855-75B09C466750}"/>
            </c:ext>
          </c:extLst>
        </c:ser>
        <c:ser>
          <c:idx val="6"/>
          <c:order val="6"/>
          <c:tx>
            <c:strRef>
              <c:f>Data!$E$151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Data!$D$164</c:f>
              <c:numCache>
                <c:formatCode>_("$"* #,##0.00_);_("$"* \(#,##0.00\);_("$"* "-"??_);_(@_)</c:formatCode>
                <c:ptCount val="1"/>
                <c:pt idx="0">
                  <c:v>2371.0034615384616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A8-4797-B855-75B09C466750}"/>
            </c:ext>
          </c:extLst>
        </c:ser>
        <c:ser>
          <c:idx val="7"/>
          <c:order val="7"/>
          <c:tx>
            <c:v>Average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7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8-4797-B855-75B09C4667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Data!$D$62</c:f>
              <c:numCache>
                <c:formatCode>_("$"* #,##0.00_);_("$"* \(#,##0.00\);_("$"* "-"??_);_(@_)</c:formatCode>
                <c:ptCount val="1"/>
                <c:pt idx="0">
                  <c:v>4239.1645833333332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A8-4797-B855-75B09C466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0611263"/>
        <c:axId val="1660611679"/>
      </c:barChart>
      <c:catAx>
        <c:axId val="166061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11679"/>
        <c:crosses val="autoZero"/>
        <c:auto val="1"/>
        <c:lblAlgn val="ctr"/>
        <c:lblOffset val="100"/>
        <c:noMultiLvlLbl val="0"/>
      </c:catAx>
      <c:valAx>
        <c:axId val="16606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Profit Ratio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Data!$B$72</c:f>
              <c:numCache>
                <c:formatCode>0%</c:formatCode>
                <c:ptCount val="1"/>
                <c:pt idx="0">
                  <c:v>0.24250000000000002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C-4491-B89A-FA5D1F7C85D9}"/>
            </c:ext>
          </c:extLst>
        </c:ser>
        <c:ser>
          <c:idx val="1"/>
          <c:order val="1"/>
          <c:tx>
            <c:strRef>
              <c:f>Data!$E$78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Data!$B$86</c:f>
              <c:numCache>
                <c:formatCode>0%</c:formatCode>
                <c:ptCount val="1"/>
                <c:pt idx="0">
                  <c:v>0.17375000000000002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C-4491-B89A-FA5D1F7C85D9}"/>
            </c:ext>
          </c:extLst>
        </c:ser>
        <c:ser>
          <c:idx val="2"/>
          <c:order val="2"/>
          <c:tx>
            <c:strRef>
              <c:f>Data!$E$92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Data!$B$98</c:f>
              <c:numCache>
                <c:formatCode>0%</c:formatCode>
                <c:ptCount val="1"/>
                <c:pt idx="0">
                  <c:v>0.23500000000000001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BC-4491-B89A-FA5D1F7C85D9}"/>
            </c:ext>
          </c:extLst>
        </c:ser>
        <c:ser>
          <c:idx val="3"/>
          <c:order val="3"/>
          <c:tx>
            <c:strRef>
              <c:f>Data!$E$104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Data!$B$115</c:f>
              <c:numCache>
                <c:formatCode>0%</c:formatCode>
                <c:ptCount val="1"/>
                <c:pt idx="0">
                  <c:v>0.16181818181818183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BC-4491-B89A-FA5D1F7C85D9}"/>
            </c:ext>
          </c:extLst>
        </c:ser>
        <c:ser>
          <c:idx val="4"/>
          <c:order val="4"/>
          <c:tx>
            <c:strRef>
              <c:f>Data!$E$121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Data!$B$133</c:f>
              <c:numCache>
                <c:formatCode>0%</c:formatCode>
                <c:ptCount val="1"/>
                <c:pt idx="0">
                  <c:v>0.24749999999999997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BC-4491-B89A-FA5D1F7C85D9}"/>
            </c:ext>
          </c:extLst>
        </c:ser>
        <c:ser>
          <c:idx val="5"/>
          <c:order val="5"/>
          <c:tx>
            <c:strRef>
              <c:f>Data!$E$139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Data!$B$145</c:f>
              <c:numCache>
                <c:formatCode>0%</c:formatCode>
                <c:ptCount val="1"/>
                <c:pt idx="0">
                  <c:v>0.21833333333333335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BC-4491-B89A-FA5D1F7C85D9}"/>
            </c:ext>
          </c:extLst>
        </c:ser>
        <c:ser>
          <c:idx val="6"/>
          <c:order val="6"/>
          <c:tx>
            <c:strRef>
              <c:f>Data!$E$151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7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</c:numLit>
          </c:cat>
          <c:val>
            <c:numRef>
              <c:f>Data!$B$164</c:f>
              <c:numCache>
                <c:formatCode>0%</c:formatCode>
                <c:ptCount val="1"/>
                <c:pt idx="0">
                  <c:v>0.22196153846153849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BC-4491-B89A-FA5D1F7C85D9}"/>
            </c:ext>
          </c:extLst>
        </c:ser>
        <c:ser>
          <c:idx val="7"/>
          <c:order val="7"/>
          <c:tx>
            <c:v>Average</c:v>
          </c:tx>
          <c:spPr>
            <a:pattFill prst="pct7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Data!$B$62</c:f>
              <c:numCache>
                <c:formatCode>0%</c:formatCode>
                <c:ptCount val="1"/>
                <c:pt idx="0">
                  <c:v>0.21192500000000006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BC-4491-B89A-FA5D1F7C85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0611263"/>
        <c:axId val="1660611679"/>
      </c:barChart>
      <c:catAx>
        <c:axId val="166061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0611679"/>
        <c:crosses val="autoZero"/>
        <c:auto val="1"/>
        <c:lblAlgn val="ctr"/>
        <c:lblOffset val="100"/>
        <c:noMultiLvlLbl val="0"/>
      </c:catAx>
      <c:valAx>
        <c:axId val="16606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Data!$K$67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cat>
            <c:numRef>
              <c:f>Data!$J$68:$J$72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Data!$K$68:$K$72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86.7</c:v>
                </c:pt>
                <c:pt idx="2">
                  <c:v>6404.18</c:v>
                </c:pt>
                <c:pt idx="3">
                  <c:v>16925.55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E-483E-A7EA-33BC6001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967967"/>
        <c:axId val="1938961311"/>
      </c:areaChart>
      <c:catAx>
        <c:axId val="193896796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1311"/>
        <c:crosses val="autoZero"/>
        <c:auto val="1"/>
        <c:lblAlgn val="ctr"/>
        <c:lblOffset val="100"/>
        <c:noMultiLvlLbl val="0"/>
      </c:catAx>
      <c:valAx>
        <c:axId val="1938961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193896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2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Data!$K$77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Data!$J$78:$J$82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Data!$K$78:$K$82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40.6</c:v>
                </c:pt>
                <c:pt idx="2">
                  <c:v>10849.46</c:v>
                </c:pt>
                <c:pt idx="3">
                  <c:v>1817.3400000000001</c:v>
                </c:pt>
                <c:pt idx="4">
                  <c:v>3503.0699999999997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6-4657-B9A7-B8799AE8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44607"/>
        <c:axId val="1943643887"/>
      </c:areaChart>
      <c:catAx>
        <c:axId val="1403344607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43887"/>
        <c:crosses val="autoZero"/>
        <c:auto val="1"/>
        <c:lblAlgn val="ctr"/>
        <c:lblOffset val="100"/>
        <c:noMultiLvlLbl val="0"/>
      </c:catAx>
      <c:valAx>
        <c:axId val="19436438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4033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3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Data!$K$91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Data!$J$92:$J$96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Data!$K$92:$K$96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6720.420000000001</c:v>
                </c:pt>
                <c:pt idx="3">
                  <c:v>775.15</c:v>
                </c:pt>
                <c:pt idx="4">
                  <c:v>5500.18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7-4388-B342-B1B52A0C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498639"/>
        <c:axId val="1942491983"/>
      </c:areaChart>
      <c:catAx>
        <c:axId val="194249863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491983"/>
        <c:crosses val="autoZero"/>
        <c:auto val="1"/>
        <c:lblAlgn val="ctr"/>
        <c:lblOffset val="100"/>
        <c:noMultiLvlLbl val="0"/>
      </c:catAx>
      <c:valAx>
        <c:axId val="194249198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94249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4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Data!$K$103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Data!$J$104:$J$108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Data!$K$104:$K$108</c:f>
              <c:numCache>
                <c:formatCode>_("$"* #,##0.00_);_("$"* \(#,##0.00\);_("$"* "-"??_);_(@_)</c:formatCode>
                <c:ptCount val="5"/>
                <c:pt idx="0">
                  <c:v>0</c:v>
                </c:pt>
                <c:pt idx="1">
                  <c:v>1090.98</c:v>
                </c:pt>
                <c:pt idx="2">
                  <c:v>28292.38</c:v>
                </c:pt>
                <c:pt idx="3">
                  <c:v>3184.5</c:v>
                </c:pt>
                <c:pt idx="4">
                  <c:v>22121.39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1-46A1-9E8D-AC41FDF88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32079"/>
        <c:axId val="1939432495"/>
      </c:areaChart>
      <c:catAx>
        <c:axId val="193943207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32495"/>
        <c:crosses val="autoZero"/>
        <c:auto val="1"/>
        <c:lblAlgn val="ctr"/>
        <c:lblOffset val="100"/>
        <c:noMultiLvlLbl val="0"/>
      </c:catAx>
      <c:valAx>
        <c:axId val="1939432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93943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5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Data!$K$120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Data!$J$121:$J$125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Data!$K$121:$K$125</c:f>
              <c:numCache>
                <c:formatCode>_("$"* #,##0.00_);_("$"* \(#,##0.00\);_("$"* "-"??_);_(@_)</c:formatCode>
                <c:ptCount val="5"/>
                <c:pt idx="0">
                  <c:v>154.74</c:v>
                </c:pt>
                <c:pt idx="1">
                  <c:v>12243.36</c:v>
                </c:pt>
                <c:pt idx="2">
                  <c:v>15986.27</c:v>
                </c:pt>
                <c:pt idx="3">
                  <c:v>35807.93</c:v>
                </c:pt>
                <c:pt idx="4">
                  <c:v>604.79999999999995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2-4C36-B9FC-209BDBA27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82239"/>
        <c:axId val="1821577247"/>
      </c:areaChart>
      <c:catAx>
        <c:axId val="1821582239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77247"/>
        <c:crosses val="autoZero"/>
        <c:auto val="1"/>
        <c:lblAlgn val="ctr"/>
        <c:lblOffset val="100"/>
        <c:noMultiLvlLbl val="0"/>
      </c:catAx>
      <c:valAx>
        <c:axId val="1821577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2158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6 Profits by Competition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Data!$K$138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Data!$J$139:$J$143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Data!$K$139:$K$143</c:f>
              <c:numCache>
                <c:formatCode>_("$"* #,##0.00_);_("$"* \(#,##0.00\);_("$"* "-"??_);_(@_)</c:formatCode>
                <c:ptCount val="5"/>
                <c:pt idx="0">
                  <c:v>11477.03</c:v>
                </c:pt>
                <c:pt idx="1">
                  <c:v>12067.22</c:v>
                </c:pt>
                <c:pt idx="2">
                  <c:v>26754.860000000004</c:v>
                </c:pt>
                <c:pt idx="3">
                  <c:v>1118.72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D-4EF1-9BA6-6B8E6625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92223"/>
        <c:axId val="1821582655"/>
      </c:areaChart>
      <c:catAx>
        <c:axId val="1821592223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82655"/>
        <c:crosses val="autoZero"/>
        <c:auto val="1"/>
        <c:lblAlgn val="ctr"/>
        <c:lblOffset val="100"/>
        <c:noMultiLvlLbl val="0"/>
      </c:catAx>
      <c:valAx>
        <c:axId val="18215826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8215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495300</xdr:colOff>
      <xdr:row>51</xdr:row>
      <xdr:rowOff>142875</xdr:rowOff>
    </xdr:from>
    <xdr:to>
      <xdr:col>26</xdr:col>
      <xdr:colOff>342900</xdr:colOff>
      <xdr:row>67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49F8AF-2349-4898-A229-C15034F2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67</xdr:row>
      <xdr:rowOff>47625</xdr:rowOff>
    </xdr:from>
    <xdr:to>
      <xdr:col>26</xdr:col>
      <xdr:colOff>342900</xdr:colOff>
      <xdr:row>82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44849B-DC18-414D-BE3A-42188321A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504825</xdr:colOff>
      <xdr:row>34</xdr:row>
      <xdr:rowOff>133350</xdr:rowOff>
    </xdr:from>
    <xdr:to>
      <xdr:col>26</xdr:col>
      <xdr:colOff>352425</xdr:colOff>
      <xdr:row>51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DFBACC-CD3E-4E7C-9B5E-0B83843DC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171449</xdr:colOff>
      <xdr:row>60</xdr:row>
      <xdr:rowOff>114299</xdr:rowOff>
    </xdr:from>
    <xdr:to>
      <xdr:col>18</xdr:col>
      <xdr:colOff>442911</xdr:colOff>
      <xdr:row>72</xdr:row>
      <xdr:rowOff>85724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412125-F0D5-4EEA-B0A5-8B3336F35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166687</xdr:colOff>
      <xdr:row>76</xdr:row>
      <xdr:rowOff>9525</xdr:rowOff>
    </xdr:from>
    <xdr:to>
      <xdr:col>18</xdr:col>
      <xdr:colOff>428625</xdr:colOff>
      <xdr:row>87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E2479F0-81AF-4395-8700-EBF41DF4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200025</xdr:colOff>
      <xdr:row>89</xdr:row>
      <xdr:rowOff>9525</xdr:rowOff>
    </xdr:from>
    <xdr:to>
      <xdr:col>19</xdr:col>
      <xdr:colOff>0</xdr:colOff>
      <xdr:row>100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5BEF6D8-769C-40B9-92A3-7B2A59A56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190500</xdr:colOff>
      <xdr:row>101</xdr:row>
      <xdr:rowOff>95250</xdr:rowOff>
    </xdr:from>
    <xdr:to>
      <xdr:col>19</xdr:col>
      <xdr:colOff>4762</xdr:colOff>
      <xdr:row>113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0A9B35-80D0-4D8D-A616-C298DF2F6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133350</xdr:colOff>
      <xdr:row>118</xdr:row>
      <xdr:rowOff>66675</xdr:rowOff>
    </xdr:from>
    <xdr:to>
      <xdr:col>18</xdr:col>
      <xdr:colOff>433387</xdr:colOff>
      <xdr:row>131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44BD685-B303-4771-860E-614F68C5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133350</xdr:colOff>
      <xdr:row>135</xdr:row>
      <xdr:rowOff>171450</xdr:rowOff>
    </xdr:from>
    <xdr:to>
      <xdr:col>18</xdr:col>
      <xdr:colOff>414337</xdr:colOff>
      <xdr:row>147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790A2F5-5F2A-4996-9688-4A0ECA5A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133350</xdr:colOff>
      <xdr:row>149</xdr:row>
      <xdr:rowOff>9525</xdr:rowOff>
    </xdr:from>
    <xdr:to>
      <xdr:col>18</xdr:col>
      <xdr:colOff>433387</xdr:colOff>
      <xdr:row>162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69CC9E-E729-415A-896F-E506892F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349250</xdr:colOff>
      <xdr:row>8</xdr:row>
      <xdr:rowOff>57150</xdr:rowOff>
    </xdr:from>
    <xdr:to>
      <xdr:col>15</xdr:col>
      <xdr:colOff>381000</xdr:colOff>
      <xdr:row>25</xdr:row>
      <xdr:rowOff>50800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A84DCEB-5EA5-4F6C-96C0-DF8E1C126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355600</xdr:colOff>
      <xdr:row>25</xdr:row>
      <xdr:rowOff>38100</xdr:rowOff>
    </xdr:from>
    <xdr:to>
      <xdr:col>15</xdr:col>
      <xdr:colOff>387350</xdr:colOff>
      <xdr:row>42</xdr:row>
      <xdr:rowOff>25400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168E490-67DF-4296-8C39-CB0A9F71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352425</xdr:colOff>
      <xdr:row>42</xdr:row>
      <xdr:rowOff>28575</xdr:rowOff>
    </xdr:from>
    <xdr:to>
      <xdr:col>15</xdr:col>
      <xdr:colOff>384175</xdr:colOff>
      <xdr:row>59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C24F34C-F407-4E12-9899-6DB82ECE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396875</xdr:colOff>
      <xdr:row>8</xdr:row>
      <xdr:rowOff>60325</xdr:rowOff>
    </xdr:from>
    <xdr:to>
      <xdr:col>24</xdr:col>
      <xdr:colOff>212725</xdr:colOff>
      <xdr:row>25</xdr:row>
      <xdr:rowOff>3175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D52E7AA-702E-415F-A005-23B2CC269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358775</xdr:colOff>
      <xdr:row>25</xdr:row>
      <xdr:rowOff>25400</xdr:rowOff>
    </xdr:from>
    <xdr:to>
      <xdr:col>34</xdr:col>
      <xdr:colOff>206375</xdr:colOff>
      <xdr:row>41</xdr:row>
      <xdr:rowOff>139700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889C241-11B4-4844-AD96-B58F501B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361950</xdr:colOff>
      <xdr:row>8</xdr:row>
      <xdr:rowOff>73025</xdr:rowOff>
    </xdr:from>
    <xdr:to>
      <xdr:col>34</xdr:col>
      <xdr:colOff>209550</xdr:colOff>
      <xdr:row>25</xdr:row>
      <xdr:rowOff>15875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9B9853A-6748-4B12-A582-6B94208FD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352425</xdr:colOff>
      <xdr:row>41</xdr:row>
      <xdr:rowOff>142875</xdr:rowOff>
    </xdr:from>
    <xdr:to>
      <xdr:col>34</xdr:col>
      <xdr:colOff>200025</xdr:colOff>
      <xdr:row>58</xdr:row>
      <xdr:rowOff>82550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2142DDB-9DA5-4EF0-BD0F-4D582B8DD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117474</xdr:colOff>
      <xdr:row>118</xdr:row>
      <xdr:rowOff>31750</xdr:rowOff>
    </xdr:from>
    <xdr:to>
      <xdr:col>32</xdr:col>
      <xdr:colOff>253999</xdr:colOff>
      <xdr:row>144</xdr:row>
      <xdr:rowOff>31750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648FCEE-B171-42F7-B8BE-AAE47B13B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04206-C60F-4004-8746-C9AC251F3660}" name="Table1" displayName="Table1" ref="A1:H62" totalsRowCount="1" headerRowBorderDxfId="48" headerRowCellStyle="Normal">
  <autoFilter ref="A1:H61" xr:uid="{76104206-C60F-4004-8746-C9AC251F3660}"/>
  <sortState xmlns:xlrd2="http://schemas.microsoft.com/office/spreadsheetml/2017/richdata2" ref="A2:H61">
    <sortCondition ref="A1:A61"/>
  </sortState>
  <tableColumns count="8">
    <tableColumn id="1" xr3:uid="{D22C7CFB-6739-484A-869B-A7C3A6A863AD}" name="Customer" dataDxfId="46" totalsRowDxfId="47" dataCellStyle="Normal"/>
    <tableColumn id="2" xr3:uid="{48398892-9564-412F-B47A-6B43FF6E72AF}" name=" Percent Gross Profit" totalsRowFunction="custom" totalsRowDxfId="45" dataCellStyle="Percent">
      <totalsRowFormula>AVERAGE(Table1[ [ Percent Gross Profit] ])</totalsRowFormula>
    </tableColumn>
    <tableColumn id="3" xr3:uid="{8D7433AA-19A7-40DA-BE9C-744AE32D6079}" name="Gross Sales" totalsRowFunction="custom" totalsRowDxfId="44" dataCellStyle="Currency">
      <totalsRowFormula>AVERAGE(Table1[Gross Sales])</totalsRowFormula>
    </tableColumn>
    <tableColumn id="4" xr3:uid="{6F15ECBA-E3C9-4E95-8BBE-57866489A9D7}" name="Gross Profit" totalsRowFunction="custom" totalsRowDxfId="43" dataCellStyle="Currency">
      <calculatedColumnFormula>B2*C2</calculatedColumnFormula>
      <totalsRowFormula>AVERAGE(Table1[Gross Profit])</totalsRowFormula>
    </tableColumn>
    <tableColumn id="5" xr3:uid="{0935B933-FA27-47F8-844F-1BE5BE45E429}" name="Product Code" dataDxfId="41" totalsRowDxfId="42" dataCellStyle="Normal"/>
    <tableColumn id="6" xr3:uid="{13B53290-5037-41E0-B101-0325E318FBB6}" name="Competitive Rating*" totalsRowFunction="custom" dataDxfId="39" totalsRowDxfId="40" dataCellStyle="Normal">
      <totalsRowFormula>AVERAGE(Table1[Competitive Rating*])</totalsRowFormula>
    </tableColumn>
    <tableColumn id="7" xr3:uid="{085611A2-F267-420B-89E7-7B2D08D912DB}" name="% of Product Profit" totalsRowFunction="custom" dataDxfId="37" totalsRowDxfId="38" dataCellStyle="Percent" totalsRowCellStyle="Percent">
      <calculatedColumnFormula>Table1[[#This Row],[Gross Profit]]/SUMIF(Table1[Product Code],Table1[[#This Row],[Product Code]],Table1[Gross Profit])</calculatedColumnFormula>
      <totalsRowFormula>AVERAGE(Table1[% of Product Profit])</totalsRowFormula>
    </tableColumn>
    <tableColumn id="8" xr3:uid="{3A66E31B-4CEB-415C-AFC4-EAEE598FCE02}" name="% of Total Profit" totalsRowFunction="custom" dataDxfId="35" totalsRowDxfId="36" dataCellStyle="Percent" totalsRowCellStyle="Percent">
      <calculatedColumnFormula>Table1[[#This Row],[Gross Profit]]/SUM(Table1[Gross Profit])</calculatedColumnFormula>
      <totalsRowFormula>AVERAGE(Table1[% of Total Profit])</totalsRow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A1E94-8E97-4969-966E-68412668E225}" name="Table2" displayName="Table2" ref="A67:H71" totalsRowShown="0" headerRowCellStyle="Normal" dataCellStyle="Normal">
  <autoFilter ref="A67:H71" xr:uid="{F48A1E94-8E97-4969-966E-68412668E225}"/>
  <sortState xmlns:xlrd2="http://schemas.microsoft.com/office/spreadsheetml/2017/richdata2" ref="A68:F71">
    <sortCondition ref="A67:A71"/>
  </sortState>
  <tableColumns count="8">
    <tableColumn id="1" xr3:uid="{FD3AAA67-B2BD-4FAD-873D-962C9960B136}" name="Customer" dataDxfId="34" dataCellStyle="Normal"/>
    <tableColumn id="2" xr3:uid="{2146BAF8-EF8D-4CE4-B381-895F2AD400F2}" name=" Percent Gross Profit" dataCellStyle="Percent"/>
    <tableColumn id="3" xr3:uid="{5662B1DC-9C8B-4F22-B477-3E275C95CE68}" name="Gross Sales" dataCellStyle="Currency"/>
    <tableColumn id="4" xr3:uid="{AC205F53-3BEE-4116-B3E4-6877775534BB}" name="Gross Profit" dataCellStyle="Currency">
      <calculatedColumnFormula>B68*C68</calculatedColumnFormula>
    </tableColumn>
    <tableColumn id="5" xr3:uid="{08BE7EE7-6A0D-4E6F-9817-E7E46291DA82}" name="Product Code" dataDxfId="33" dataCellStyle="Normal"/>
    <tableColumn id="6" xr3:uid="{1A0E6B0F-86CE-47B0-BD56-0BBDE5D92C71}" name="Competitive Rating*" dataDxfId="32" dataCellStyle="Normal"/>
    <tableColumn id="7" xr3:uid="{0BB12130-511F-4410-9459-5569D4F9F69C}" name="% of Product Profit" dataDxfId="31" dataCellStyle="Percent">
      <calculatedColumnFormula>Table2[[#This Row],[Gross Profit]]/SUMIF(Table2[Product Code],Table2[[#This Row],[Product Code]],Table2[Gross Profit])</calculatedColumnFormula>
    </tableColumn>
    <tableColumn id="8" xr3:uid="{C6E21857-7F3C-4BDB-93EF-47A73413418E}" name="% of Total Profit" dataDxfId="30" dataCellStyle="Percent">
      <calculatedColumnFormula>Table2[[#This Row],[Gross Profit]]/SUM(Table1[Gross Profit])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0F5B86-2D4A-46BE-901E-BE03D38828C0}" name="Table3" displayName="Table3" ref="A77:H85" totalsRowShown="0" headerRowCellStyle="Normal" dataCellStyle="Normal">
  <autoFilter ref="A77:H85" xr:uid="{A50F5B86-2D4A-46BE-901E-BE03D38828C0}"/>
  <sortState xmlns:xlrd2="http://schemas.microsoft.com/office/spreadsheetml/2017/richdata2" ref="A78:F85">
    <sortCondition ref="A77:A85"/>
  </sortState>
  <tableColumns count="8">
    <tableColumn id="1" xr3:uid="{0E76D0ED-A8DD-4B41-B566-93C17E2C7996}" name="Customer" dataDxfId="29" dataCellStyle="Normal"/>
    <tableColumn id="2" xr3:uid="{187D0DF3-0113-4A05-8E36-3B89D8A6CF35}" name=" Percent Gross Profit" dataCellStyle="Percent"/>
    <tableColumn id="3" xr3:uid="{7D4DAD14-45B4-4614-BB3C-B6DA8FB7D50B}" name="Gross Sales" dataCellStyle="Currency"/>
    <tableColumn id="4" xr3:uid="{D81B2702-3DEC-41FC-8528-F2F23AD6C4ED}" name="Gross Profit" dataCellStyle="Currency"/>
    <tableColumn id="5" xr3:uid="{6CE4D2D7-483F-4116-BAB9-C76F3F8AD29F}" name="Product Code" dataDxfId="28" dataCellStyle="Normal"/>
    <tableColumn id="6" xr3:uid="{E0D31A80-B558-45BA-9BFD-1B7BB2310FBE}" name="Competitive Rating*" dataDxfId="27" dataCellStyle="Normal"/>
    <tableColumn id="7" xr3:uid="{B790BA92-F163-41CC-9758-637608375A02}" name="% of Product Profit" dataDxfId="26" dataCellStyle="Percent">
      <calculatedColumnFormula>Table3[[#This Row],[Gross Profit]]/SUMIF(Table3[Product Code],Table3[[#This Row],[Product Code]],Table3[Gross Profit])</calculatedColumnFormula>
    </tableColumn>
    <tableColumn id="8" xr3:uid="{F130974F-1404-40AD-A340-22116AE7886D}" name="% of Total Profit" dataDxfId="25" dataCellStyle="Percent">
      <calculatedColumnFormula>Table3[[#This Row],[Gross Profit]]/SUM(Table1[Gross Profit])</calculatedColumnFormula>
    </tableColumn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DCDC502-CE92-4B36-BF4C-11F0378E987E}" name="Table4" displayName="Table4" ref="A91:H97" totalsRowShown="0" headerRowCellStyle="Normal" dataCellStyle="Normal">
  <autoFilter ref="A91:H97" xr:uid="{2DCDC502-CE92-4B36-BF4C-11F0378E987E}"/>
  <sortState xmlns:xlrd2="http://schemas.microsoft.com/office/spreadsheetml/2017/richdata2" ref="A92:F97">
    <sortCondition ref="A91:A97"/>
  </sortState>
  <tableColumns count="8">
    <tableColumn id="1" xr3:uid="{2EE60B5F-FF5E-499A-886A-0534D3AA6490}" name="Customer" dataDxfId="24" dataCellStyle="Normal"/>
    <tableColumn id="2" xr3:uid="{DEF84EDD-95F1-4EED-869D-F6A8F32A0EB6}" name=" Percent Gross Profit" dataCellStyle="Percent"/>
    <tableColumn id="3" xr3:uid="{FFCE842E-1D8F-45DF-B886-F517C9EEF361}" name="Gross Sales" dataCellStyle="Currency"/>
    <tableColumn id="4" xr3:uid="{E124FC8B-1464-4CB7-B9F2-0BC3D8C33B96}" name="Gross Profit" dataCellStyle="Currency"/>
    <tableColumn id="5" xr3:uid="{C5583C55-EAC1-4F7C-B1DD-BF11D2D7CCC0}" name="Product Code" dataDxfId="23" dataCellStyle="Normal"/>
    <tableColumn id="6" xr3:uid="{A29F5B7B-C17E-4C31-BB43-51BE32A157BE}" name="Competitive Rating*" dataDxfId="22" dataCellStyle="Normal"/>
    <tableColumn id="7" xr3:uid="{24D00E39-3CDF-469F-9608-D584271CE0DE}" name="% of Product Profit" dataDxfId="21" dataCellStyle="Percent">
      <calculatedColumnFormula>Table4[[#This Row],[Gross Profit]]/SUMIF(Table4[Product Code],Table4[[#This Row],[Product Code]],Table4[Gross Profit])</calculatedColumnFormula>
    </tableColumn>
    <tableColumn id="8" xr3:uid="{B5F666C4-D50B-4ECE-8C2F-CFE78D5DC803}" name="% of Total Profit" dataDxfId="20" dataCellStyle="Percent">
      <calculatedColumnFormula>Table4[[#This Row],[Gross Profit]]/SUM(Table1[Gross Profit])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0FC54E-1624-4C7C-A922-A7EC773A3A70}" name="Table5" displayName="Table5" ref="A103:H114" totalsRowShown="0" headerRowCellStyle="Normal" dataCellStyle="Normal">
  <autoFilter ref="A103:H114" xr:uid="{A00FC54E-1624-4C7C-A922-A7EC773A3A70}"/>
  <sortState xmlns:xlrd2="http://schemas.microsoft.com/office/spreadsheetml/2017/richdata2" ref="A104:F114">
    <sortCondition ref="A103:A114"/>
  </sortState>
  <tableColumns count="8">
    <tableColumn id="1" xr3:uid="{2C749582-9C33-4407-9E98-ED9D84BF1A1A}" name="Customer" dataDxfId="19" dataCellStyle="Normal"/>
    <tableColumn id="2" xr3:uid="{994D61BE-30F3-4026-A353-05012280FD56}" name=" Percent Gross Profit" dataCellStyle="Percent"/>
    <tableColumn id="3" xr3:uid="{AF15FA7B-63B9-4D26-B115-45F1BFE71C10}" name="Gross Sales" dataCellStyle="Currency"/>
    <tableColumn id="4" xr3:uid="{7B799A1A-FF5F-41EB-A6E4-141C5B4FC2EA}" name="Gross Profit" dataCellStyle="Currency"/>
    <tableColumn id="5" xr3:uid="{76FBC0D2-2B0C-4070-AF3D-C761A75A2138}" name="Product Code" dataDxfId="18" dataCellStyle="Normal"/>
    <tableColumn id="6" xr3:uid="{096C1AA4-84CD-4D46-AEE6-D36AEC7397E7}" name="Competitive Rating*" dataDxfId="17" dataCellStyle="Normal"/>
    <tableColumn id="7" xr3:uid="{5DF7E749-0C14-4050-AB1B-6DFC93E706CD}" name="% of Product Profit" dataDxfId="16" dataCellStyle="Percent">
      <calculatedColumnFormula>Table5[[#This Row],[Gross Profit]]/SUMIF(Table5[Product Code],Table5[[#This Row],[Product Code]],Table5[Gross Profit])</calculatedColumnFormula>
    </tableColumn>
    <tableColumn id="8" xr3:uid="{DF6C6339-77BC-4156-9BDD-F2D016F34DF6}" name="% of Total Profit" dataDxfId="15" dataCellStyle="Percent">
      <calculatedColumnFormula>Table5[[#This Row],[Gross Profit]]/SUM(Table1[Gross Profit])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4CE860-FBE1-4A57-945B-3EB2C0305165}" name="Table6" displayName="Table6" ref="A120:H132" totalsRowShown="0" headerRowCellStyle="Normal" dataCellStyle="Normal">
  <autoFilter ref="A120:H132" xr:uid="{304CE860-FBE1-4A57-945B-3EB2C0305165}"/>
  <sortState xmlns:xlrd2="http://schemas.microsoft.com/office/spreadsheetml/2017/richdata2" ref="A121:F132">
    <sortCondition ref="A120:A132"/>
  </sortState>
  <tableColumns count="8">
    <tableColumn id="1" xr3:uid="{E599BA46-7561-4D75-9088-27B44C37519F}" name="Customer" dataDxfId="14" dataCellStyle="Normal"/>
    <tableColumn id="2" xr3:uid="{3AD432A0-6648-4040-9D5B-620240D872EF}" name=" Percent Gross Profit" dataCellStyle="Percent"/>
    <tableColumn id="3" xr3:uid="{0B1ED55C-2FFC-4D62-A5C1-D3A3B13D8746}" name="Gross Sales" dataCellStyle="Currency"/>
    <tableColumn id="4" xr3:uid="{884095C7-05F8-46EB-8572-59D3EEB7F835}" name="Gross Profit" dataCellStyle="Currency"/>
    <tableColumn id="5" xr3:uid="{40E126EE-C551-4356-8F5F-C69E62578D01}" name="Product Code" dataDxfId="13" dataCellStyle="Normal"/>
    <tableColumn id="6" xr3:uid="{6101E017-25B6-47EF-8534-B8E975961A1B}" name="Competitive Rating*" dataDxfId="12" dataCellStyle="Normal"/>
    <tableColumn id="7" xr3:uid="{EF06B35F-2018-47B9-9999-52B91DDF9689}" name="% of Product Profit" dataDxfId="11" dataCellStyle="Percent">
      <calculatedColumnFormula>Table6[[#This Row],[Gross Profit]]/SUMIF(Table6[Product Code],Table6[[#This Row],[Product Code]],Table6[Gross Profit])</calculatedColumnFormula>
    </tableColumn>
    <tableColumn id="8" xr3:uid="{C8B5A1A2-CA0C-479D-BFA2-5CE2A0DB9485}" name="% of Total Profit" dataDxfId="10" dataCellStyle="Percent">
      <calculatedColumnFormula>Table6[[#This Row],[Gross Profit]]/SUM(Table1[Gross Profit])</calculatedColumnFormula>
    </tableColumn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4DACB81-BB8A-4237-A200-76C7EFEEC84F}" name="Table7" displayName="Table7" ref="A138:H144" totalsRowShown="0" headerRowCellStyle="Normal" dataCellStyle="Normal">
  <autoFilter ref="A138:H144" xr:uid="{D4DACB81-BB8A-4237-A200-76C7EFEEC84F}"/>
  <sortState xmlns:xlrd2="http://schemas.microsoft.com/office/spreadsheetml/2017/richdata2" ref="A139:F144">
    <sortCondition ref="A138:A144"/>
  </sortState>
  <tableColumns count="8">
    <tableColumn id="1" xr3:uid="{6B12A5BE-1B44-478B-8C8C-8B80ED844123}" name="Customer" dataDxfId="9" dataCellStyle="Normal"/>
    <tableColumn id="2" xr3:uid="{2E521BF5-54B3-4193-8D87-31B4F616A5A6}" name=" Percent Gross Profit" dataCellStyle="Percent"/>
    <tableColumn id="3" xr3:uid="{EF2AFD85-9CD4-4CBC-9F24-1D509E12E0EF}" name="Gross Sales" dataCellStyle="Currency"/>
    <tableColumn id="4" xr3:uid="{4F16736E-80B3-4A85-A607-B0B3EFBB0E46}" name="Gross Profit" dataCellStyle="Currency"/>
    <tableColumn id="5" xr3:uid="{3915CF3F-AE39-4BA5-A50E-16EC0191994F}" name="Product Code" dataDxfId="8" dataCellStyle="Normal"/>
    <tableColumn id="6" xr3:uid="{E6C9007B-0D7B-482D-8280-77B1A02687DE}" name="Competitive Rating*" dataDxfId="7" dataCellStyle="Normal"/>
    <tableColumn id="7" xr3:uid="{4D4BBF72-B411-4682-873D-16E68DFCB98E}" name="% of Product Profit" dataDxfId="6" dataCellStyle="Percent">
      <calculatedColumnFormula>Table7[[#This Row],[Gross Profit]]/SUMIF(Table7[Product Code],Table7[[#This Row],[Product Code]],Table7[Gross Profit])</calculatedColumnFormula>
    </tableColumn>
    <tableColumn id="8" xr3:uid="{648EB808-CEB9-473A-852C-6CB4764D111C}" name="% of Total Profit" dataDxfId="5" dataCellStyle="Percent">
      <calculatedColumnFormula>Table7[[#This Row],[Gross Profit]]/SUM(Table1[Gross Profit])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859C1A9-4AA2-4B01-B668-19C192CDA5BB}" name="Table8" displayName="Table8" ref="A150:H163" totalsRowShown="0" headerRowCellStyle="Normal" dataCellStyle="Normal">
  <autoFilter ref="A150:H163" xr:uid="{3859C1A9-4AA2-4B01-B668-19C192CDA5BB}"/>
  <sortState xmlns:xlrd2="http://schemas.microsoft.com/office/spreadsheetml/2017/richdata2" ref="A151:F163">
    <sortCondition ref="A150:A163"/>
  </sortState>
  <tableColumns count="8">
    <tableColumn id="1" xr3:uid="{CE38AF84-993D-46A4-9DC2-48F1B36B287F}" name="Customer" dataDxfId="4" dataCellStyle="Normal"/>
    <tableColumn id="2" xr3:uid="{B06FCF58-2600-41D0-8578-1BD82CFF99DA}" name=" Percent Gross Profit" dataCellStyle="Percent"/>
    <tableColumn id="3" xr3:uid="{107F43B5-19E0-4C25-9396-7EF5CBD9C983}" name="Gross Sales" dataCellStyle="Currency"/>
    <tableColumn id="4" xr3:uid="{7BE034B7-6D70-49E5-A6EE-E87AE2AD33DC}" name="Gross Profit" dataCellStyle="Currency"/>
    <tableColumn id="5" xr3:uid="{FD25D5C0-D011-45C7-805C-80A3D946CFC4}" name="Product Code" dataDxfId="3" dataCellStyle="Normal"/>
    <tableColumn id="6" xr3:uid="{C29A932C-EE36-4ACE-B63C-AFF06F99B244}" name="Competitive Rating*" dataDxfId="2" dataCellStyle="Normal"/>
    <tableColumn id="7" xr3:uid="{818F6530-5751-4FD7-A084-2478C2149303}" name="% of Product Profit" dataDxfId="1" dataCellStyle="Percent">
      <calculatedColumnFormula>Table8[[#This Row],[Gross Profit]]/SUMIF(Table8[Product Code],Table8[[#This Row],[Product Code]],Table8[Gross Profit])</calculatedColumnFormula>
    </tableColumn>
    <tableColumn id="8" xr3:uid="{227045A3-445A-4E52-B1B5-1FC0CEB7680A}" name="% of Total Profit" dataDxfId="0" dataCellStyle="Percent">
      <calculatedColumnFormula>Table8[[#This Row],[Gross Profit]]/SUM(Table1[Gross Profit])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8"/>
  <sheetViews>
    <sheetView tabSelected="1" topLeftCell="A112" workbookViewId="0">
      <selection activeCell="U146" sqref="U146"/>
    </sheetView>
  </sheetViews>
  <sheetFormatPr defaultColWidth="8.85546875" defaultRowHeight="12.75"/>
  <cols>
    <col min="1" max="1" width="15.7109375" style="9" customWidth="1"/>
    <col min="2" max="2" width="15.7109375" style="6" customWidth="1"/>
    <col min="3" max="4" width="15.7109375" style="4" customWidth="1"/>
    <col min="5" max="5" width="11.7109375" style="9" customWidth="1"/>
    <col min="6" max="6" width="12.140625" style="9" customWidth="1"/>
    <col min="7" max="7" width="12.28515625" style="24" customWidth="1"/>
    <col min="8" max="8" width="11.42578125" style="24" customWidth="1"/>
    <col min="11" max="11" width="9.5703125" customWidth="1"/>
    <col min="12" max="12" width="12.85546875" style="3" customWidth="1"/>
    <col min="13" max="13" width="13.42578125" style="3" customWidth="1"/>
    <col min="14" max="14" width="7.85546875" style="5" customWidth="1"/>
    <col min="15" max="19" width="6.7109375" customWidth="1"/>
  </cols>
  <sheetData>
    <row r="1" spans="1:14" s="1" customFormat="1" ht="25.5" customHeight="1" thickBot="1">
      <c r="A1" s="7" t="s">
        <v>0</v>
      </c>
      <c r="B1" s="18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21" t="s">
        <v>6</v>
      </c>
      <c r="H1" s="21" t="s">
        <v>7</v>
      </c>
      <c r="K1" s="1" t="s">
        <v>8</v>
      </c>
      <c r="L1" s="16" t="s">
        <v>9</v>
      </c>
      <c r="M1" s="16" t="s">
        <v>10</v>
      </c>
      <c r="N1" s="17" t="s">
        <v>7</v>
      </c>
    </row>
    <row r="2" spans="1:14" ht="13.5" thickTop="1">
      <c r="A2" s="7">
        <v>1</v>
      </c>
      <c r="B2" s="5">
        <v>0.51</v>
      </c>
      <c r="C2" s="3">
        <v>170</v>
      </c>
      <c r="D2" s="3">
        <f>B2*C2</f>
        <v>86.7</v>
      </c>
      <c r="E2" s="7">
        <v>1</v>
      </c>
      <c r="F2" s="7">
        <v>2</v>
      </c>
      <c r="G2" s="22">
        <f>Table1[[#This Row],[Gross Profit]]/SUMIF(Table1[Product Code],Table1[[#This Row],[Product Code]],Table1[Gross Profit])</f>
        <v>3.7025285237758275E-3</v>
      </c>
      <c r="H2" s="22">
        <f>Table1[[#This Row],[Gross Profit]]/SUM(Table1[Gross Profit])</f>
        <v>3.4086904898223363E-4</v>
      </c>
      <c r="K2">
        <v>1</v>
      </c>
      <c r="L2" s="3">
        <f>C76</f>
        <v>157492</v>
      </c>
      <c r="M2" s="3">
        <f>D76</f>
        <v>23416.43</v>
      </c>
      <c r="N2" s="5">
        <f>M2/D66</f>
        <v>9.2063854955698327E-2</v>
      </c>
    </row>
    <row r="3" spans="1:14">
      <c r="A3" s="7">
        <v>2</v>
      </c>
      <c r="B3" s="5">
        <v>0.32</v>
      </c>
      <c r="C3" s="3">
        <v>181</v>
      </c>
      <c r="D3" s="3">
        <f>B3*C3</f>
        <v>57.92</v>
      </c>
      <c r="E3" s="7">
        <v>3</v>
      </c>
      <c r="F3" s="7">
        <v>4</v>
      </c>
      <c r="G3" s="22">
        <f>Table1[[#This Row],[Gross Profit]]/SUMIF(Table1[Product Code],Table1[[#This Row],[Product Code]],Table1[Gross Profit])</f>
        <v>4.4568416597733865E-3</v>
      </c>
      <c r="H3" s="22">
        <f>Table1[[#This Row],[Gross Profit]]/SUM(Table1[Gross Profit])</f>
        <v>2.277178237260781E-4</v>
      </c>
      <c r="K3">
        <v>2</v>
      </c>
      <c r="L3" s="3">
        <f>C90</f>
        <v>105785</v>
      </c>
      <c r="M3" s="3">
        <f>D90</f>
        <v>16210.47</v>
      </c>
      <c r="N3" s="5">
        <f>M3/D66</f>
        <v>6.3732958390484762E-2</v>
      </c>
    </row>
    <row r="4" spans="1:14">
      <c r="A4" s="7">
        <v>3</v>
      </c>
      <c r="B4" s="5">
        <v>0.2</v>
      </c>
      <c r="C4" s="3">
        <v>203</v>
      </c>
      <c r="D4" s="3">
        <f>B4*C4</f>
        <v>40.6</v>
      </c>
      <c r="E4" s="7">
        <v>2</v>
      </c>
      <c r="F4" s="7">
        <v>2</v>
      </c>
      <c r="G4" s="22">
        <f>Table1[[#This Row],[Gross Profit]]/SUMIF(Table1[Product Code],Table1[[#This Row],[Product Code]],Table1[Gross Profit])</f>
        <v>2.5045541554316441E-3</v>
      </c>
      <c r="H4" s="22">
        <f>Table1[[#This Row],[Gross Profit]]/SUM(Table1[Gross Profit])</f>
        <v>1.5962264577484066E-4</v>
      </c>
      <c r="K4">
        <v>3</v>
      </c>
      <c r="L4" s="3">
        <f>C102</f>
        <v>108231</v>
      </c>
      <c r="M4" s="3">
        <f>D102</f>
        <v>12995.750000000002</v>
      </c>
      <c r="N4" s="5">
        <f>M4/D66</f>
        <v>5.1093990118925757E-2</v>
      </c>
    </row>
    <row r="5" spans="1:14">
      <c r="A5" s="7">
        <v>4</v>
      </c>
      <c r="B5" s="5">
        <v>0.22</v>
      </c>
      <c r="C5" s="3">
        <v>249</v>
      </c>
      <c r="D5" s="3">
        <f>B5*C5</f>
        <v>54.78</v>
      </c>
      <c r="E5" s="7">
        <v>5</v>
      </c>
      <c r="F5" s="7">
        <v>1</v>
      </c>
      <c r="G5" s="22">
        <f>Table1[[#This Row],[Gross Profit]]/SUMIF(Table1[Product Code],Table1[[#This Row],[Product Code]],Table1[Gross Profit])</f>
        <v>8.4540820499682851E-4</v>
      </c>
      <c r="H5" s="22">
        <f>Table1[[#This Row],[Gross Profit]]/SUM(Table1[Gross Profit])</f>
        <v>2.1537262402822097E-4</v>
      </c>
      <c r="K5">
        <v>4</v>
      </c>
      <c r="L5" s="3">
        <f>C119</f>
        <v>412317</v>
      </c>
      <c r="M5" s="3">
        <f>D119</f>
        <v>54689.25</v>
      </c>
      <c r="N5" s="5">
        <f>M5/D66</f>
        <v>0.21501583203058386</v>
      </c>
    </row>
    <row r="6" spans="1:14">
      <c r="A6" s="7">
        <v>5</v>
      </c>
      <c r="B6" s="5">
        <v>0.21</v>
      </c>
      <c r="C6" s="3">
        <v>476</v>
      </c>
      <c r="D6" s="3">
        <f>B6*C6</f>
        <v>99.96</v>
      </c>
      <c r="E6" s="7">
        <v>5</v>
      </c>
      <c r="F6" s="7">
        <v>1</v>
      </c>
      <c r="G6" s="22">
        <f>Table1[[#This Row],[Gross Profit]]/SUMIF(Table1[Product Code],Table1[[#This Row],[Product Code]],Table1[Gross Profit])</f>
        <v>1.5426616314619015E-3</v>
      </c>
      <c r="H6" s="22">
        <f>Table1[[#This Row],[Gross Profit]]/SUM(Table1[Gross Profit])</f>
        <v>3.9300196235598697E-4</v>
      </c>
      <c r="K6">
        <v>5</v>
      </c>
      <c r="L6" s="3">
        <f>C137</f>
        <v>289991</v>
      </c>
      <c r="M6" s="3">
        <f>D137</f>
        <v>64797.100000000006</v>
      </c>
      <c r="N6" s="5">
        <f>M6/D66</f>
        <v>0.25475577686051548</v>
      </c>
    </row>
    <row r="7" spans="1:14">
      <c r="A7" s="7">
        <v>6</v>
      </c>
      <c r="B7" s="5">
        <v>0.21</v>
      </c>
      <c r="C7" s="3">
        <v>476</v>
      </c>
      <c r="D7" s="3">
        <f>B7*C7</f>
        <v>99.96</v>
      </c>
      <c r="E7" s="7">
        <v>5</v>
      </c>
      <c r="F7" s="7">
        <v>4</v>
      </c>
      <c r="G7" s="22">
        <f>Table1[[#This Row],[Gross Profit]]/SUMIF(Table1[Product Code],Table1[[#This Row],[Product Code]],Table1[Gross Profit])</f>
        <v>1.5426616314619015E-3</v>
      </c>
      <c r="H7" s="22">
        <f>Table1[[#This Row],[Gross Profit]]/SUM(Table1[Gross Profit])</f>
        <v>3.9300196235598697E-4</v>
      </c>
      <c r="K7">
        <v>6</v>
      </c>
      <c r="L7" s="3">
        <f>C149</f>
        <v>279671</v>
      </c>
      <c r="M7" s="3">
        <f>D149</f>
        <v>51417.83</v>
      </c>
      <c r="N7" s="5">
        <f>M7/D66</f>
        <v>0.20215394247785654</v>
      </c>
    </row>
    <row r="8" spans="1:14">
      <c r="A8" s="7">
        <v>7</v>
      </c>
      <c r="B8" s="5">
        <v>0.22</v>
      </c>
      <c r="C8" s="3">
        <v>635</v>
      </c>
      <c r="D8" s="3">
        <f>B8*C8</f>
        <v>139.69999999999999</v>
      </c>
      <c r="E8" s="7">
        <v>2</v>
      </c>
      <c r="F8" s="7">
        <v>3</v>
      </c>
      <c r="G8" s="22">
        <f>Table1[[#This Row],[Gross Profit]]/SUMIF(Table1[Product Code],Table1[[#This Row],[Product Code]],Table1[Gross Profit])</f>
        <v>8.6178870816207061E-3</v>
      </c>
      <c r="H8" s="22">
        <f>Table1[[#This Row],[Gross Profit]]/SUM(Table1[Gross Profit])</f>
        <v>5.4924343878682853E-4</v>
      </c>
      <c r="K8">
        <v>7</v>
      </c>
      <c r="L8" s="3">
        <f>C168</f>
        <v>147503</v>
      </c>
      <c r="M8" s="3">
        <f>D168</f>
        <v>30823.044999999998</v>
      </c>
      <c r="N8" s="5">
        <f>M8/D66</f>
        <v>0.1211836451659353</v>
      </c>
    </row>
    <row r="9" spans="1:14">
      <c r="A9" s="7">
        <v>8</v>
      </c>
      <c r="B9" s="5">
        <v>0.34</v>
      </c>
      <c r="C9" s="3">
        <v>856</v>
      </c>
      <c r="D9" s="3">
        <f>B9*C9</f>
        <v>291.04000000000002</v>
      </c>
      <c r="E9" s="7">
        <v>3</v>
      </c>
      <c r="F9" s="7">
        <v>3</v>
      </c>
      <c r="G9" s="22">
        <f>Table1[[#This Row],[Gross Profit]]/SUMIF(Table1[Product Code],Table1[[#This Row],[Product Code]],Table1[Gross Profit])</f>
        <v>2.2395013754496661E-2</v>
      </c>
      <c r="H9" s="22">
        <f>Table1[[#This Row],[Gross Profit]]/SUM(Table1[Gross Profit])</f>
        <v>1.1442506114854589E-3</v>
      </c>
    </row>
    <row r="10" spans="1:14">
      <c r="A10" s="7">
        <v>9</v>
      </c>
      <c r="B10" s="5">
        <v>0.26</v>
      </c>
      <c r="C10" s="3">
        <v>1062</v>
      </c>
      <c r="D10" s="3">
        <f>B10*C10</f>
        <v>276.12</v>
      </c>
      <c r="E10" s="7">
        <v>4</v>
      </c>
      <c r="F10" s="7">
        <v>2</v>
      </c>
      <c r="G10" s="22">
        <f>Table1[[#This Row],[Gross Profit]]/SUMIF(Table1[Product Code],Table1[[#This Row],[Product Code]],Table1[Gross Profit])</f>
        <v>5.0488898640957776E-3</v>
      </c>
      <c r="H10" s="22">
        <f>Table1[[#This Row],[Gross Profit]]/SUM(Table1[Gross Profit])</f>
        <v>1.085591254959335E-3</v>
      </c>
    </row>
    <row r="11" spans="1:14">
      <c r="A11" s="7">
        <v>10</v>
      </c>
      <c r="B11" s="5">
        <v>0.16550000000000001</v>
      </c>
      <c r="C11" s="3">
        <v>1110</v>
      </c>
      <c r="D11" s="3">
        <f>B11*C11</f>
        <v>183.70500000000001</v>
      </c>
      <c r="E11" s="7">
        <v>7</v>
      </c>
      <c r="F11" s="7">
        <v>3</v>
      </c>
      <c r="G11" s="22">
        <f>Table1[[#This Row],[Gross Profit]]/SUMIF(Table1[Product Code],Table1[[#This Row],[Product Code]],Table1[Gross Profit])</f>
        <v>5.95998870325758E-3</v>
      </c>
      <c r="H11" s="22">
        <f>Table1[[#This Row],[Gross Profit]]/SUM(Table1[Gross Profit])</f>
        <v>7.2225315620854942E-4</v>
      </c>
    </row>
    <row r="12" spans="1:14">
      <c r="A12" s="7">
        <v>11</v>
      </c>
      <c r="B12" s="5">
        <v>0.2</v>
      </c>
      <c r="C12" s="3">
        <v>1153</v>
      </c>
      <c r="D12" s="3">
        <f>B12*C12</f>
        <v>230.60000000000002</v>
      </c>
      <c r="E12" s="7">
        <v>7</v>
      </c>
      <c r="F12" s="7">
        <v>3</v>
      </c>
      <c r="G12" s="22">
        <f>Table1[[#This Row],[Gross Profit]]/SUMIF(Table1[Product Code],Table1[[#This Row],[Product Code]],Table1[Gross Profit])</f>
        <v>7.4814152852192258E-3</v>
      </c>
      <c r="H12" s="22">
        <f>Table1[[#This Row],[Gross Profit]]/SUM(Table1[Gross Profit])</f>
        <v>9.0662517526301134E-4</v>
      </c>
    </row>
    <row r="13" spans="1:14">
      <c r="A13" s="7">
        <v>12</v>
      </c>
      <c r="B13" s="5">
        <v>0.36</v>
      </c>
      <c r="C13" s="3">
        <v>1392</v>
      </c>
      <c r="D13" s="3">
        <f>B13*C13</f>
        <v>501.12</v>
      </c>
      <c r="E13" s="7">
        <v>4</v>
      </c>
      <c r="F13" s="7">
        <v>2</v>
      </c>
      <c r="G13" s="22">
        <f>Table1[[#This Row],[Gross Profit]]/SUMIF(Table1[Product Code],Table1[[#This Row],[Product Code]],Table1[Gross Profit])</f>
        <v>9.1630439254515288E-3</v>
      </c>
      <c r="H13" s="22">
        <f>Table1[[#This Row],[Gross Profit]]/SUM(Table1[Gross Profit])</f>
        <v>1.9701995135637477E-3</v>
      </c>
    </row>
    <row r="14" spans="1:14">
      <c r="A14" s="7">
        <v>13</v>
      </c>
      <c r="B14" s="5">
        <v>0.18</v>
      </c>
      <c r="C14" s="3">
        <v>1743</v>
      </c>
      <c r="D14" s="3">
        <f>B14*C14</f>
        <v>313.74</v>
      </c>
      <c r="E14" s="7">
        <v>4</v>
      </c>
      <c r="F14" s="7">
        <v>2</v>
      </c>
      <c r="G14" s="22">
        <f>Table1[[#This Row],[Gross Profit]]/SUMIF(Table1[Product Code],Table1[[#This Row],[Product Code]],Table1[Gross Profit])</f>
        <v>5.7367764231544592E-3</v>
      </c>
      <c r="H14" s="22">
        <f>Table1[[#This Row],[Gross Profit]]/SUM(Table1[Gross Profit])</f>
        <v>1.2334977557979928E-3</v>
      </c>
    </row>
    <row r="15" spans="1:14">
      <c r="A15" s="7">
        <v>14</v>
      </c>
      <c r="B15" s="5">
        <v>0.2</v>
      </c>
      <c r="C15" s="3">
        <v>2307</v>
      </c>
      <c r="D15" s="3">
        <f>B15*C15</f>
        <v>461.40000000000003</v>
      </c>
      <c r="E15" s="7">
        <v>7</v>
      </c>
      <c r="F15" s="7">
        <v>3</v>
      </c>
      <c r="G15" s="22">
        <f>Table1[[#This Row],[Gross Profit]]/SUMIF(Table1[Product Code],Table1[[#This Row],[Product Code]],Table1[Gross Profit])</f>
        <v>1.4969319222030143E-2</v>
      </c>
      <c r="H15" s="22">
        <f>Table1[[#This Row],[Gross Profit]]/SUM(Table1[Gross Profit])</f>
        <v>1.8140366689781155E-3</v>
      </c>
    </row>
    <row r="16" spans="1:14">
      <c r="A16" s="7">
        <v>15</v>
      </c>
      <c r="B16" s="5">
        <v>0.05</v>
      </c>
      <c r="C16" s="3">
        <v>2534</v>
      </c>
      <c r="D16" s="3">
        <f>B16*C16</f>
        <v>126.7</v>
      </c>
      <c r="E16" s="7">
        <v>4</v>
      </c>
      <c r="F16" s="7">
        <v>5</v>
      </c>
      <c r="G16" s="22">
        <f>Table1[[#This Row],[Gross Profit]]/SUMIF(Table1[Product Code],Table1[[#This Row],[Product Code]],Table1[Gross Profit])</f>
        <v>2.3167258647723275E-3</v>
      </c>
      <c r="H16" s="22">
        <f>Table1[[#This Row],[Gross Profit]]/SUM(Table1[Gross Profit])</f>
        <v>4.9813273940079589E-4</v>
      </c>
    </row>
    <row r="17" spans="1:8">
      <c r="A17" s="7">
        <v>16</v>
      </c>
      <c r="B17" s="5">
        <v>0.28999999999999998</v>
      </c>
      <c r="C17" s="3">
        <v>2683</v>
      </c>
      <c r="D17" s="3">
        <f>B17*C17</f>
        <v>778.06999999999994</v>
      </c>
      <c r="E17" s="7">
        <v>7</v>
      </c>
      <c r="F17" s="7">
        <v>2</v>
      </c>
      <c r="G17" s="22">
        <f>Table1[[#This Row],[Gross Profit]]/SUMIF(Table1[Product Code],Table1[[#This Row],[Product Code]],Table1[Gross Profit])</f>
        <v>2.52431257197334E-2</v>
      </c>
      <c r="H17" s="22">
        <f>Table1[[#This Row],[Gross Profit]]/SUM(Table1[Gross Profit])</f>
        <v>3.0590539900992677E-3</v>
      </c>
    </row>
    <row r="18" spans="1:8">
      <c r="A18" s="7">
        <v>17</v>
      </c>
      <c r="B18" s="5">
        <v>0.1</v>
      </c>
      <c r="C18" s="3">
        <v>2780</v>
      </c>
      <c r="D18" s="3">
        <f>B18*C18</f>
        <v>278</v>
      </c>
      <c r="E18" s="7">
        <v>2</v>
      </c>
      <c r="F18" s="7">
        <v>3</v>
      </c>
      <c r="G18" s="22">
        <f>Table1[[#This Row],[Gross Profit]]/SUMIF(Table1[Product Code],Table1[[#This Row],[Product Code]],Table1[Gross Profit])</f>
        <v>1.7149410226847218E-2</v>
      </c>
      <c r="H18" s="22">
        <f>Table1[[#This Row],[Gross Profit]]/SUM(Table1[Gross Profit])</f>
        <v>1.0929826484090074E-3</v>
      </c>
    </row>
    <row r="19" spans="1:8">
      <c r="A19" s="7">
        <v>18</v>
      </c>
      <c r="B19" s="5">
        <v>0.37</v>
      </c>
      <c r="C19" s="3">
        <v>3272</v>
      </c>
      <c r="D19" s="3">
        <f>B19*C19</f>
        <v>1210.6399999999999</v>
      </c>
      <c r="E19" s="7">
        <v>5</v>
      </c>
      <c r="F19" s="7">
        <v>3</v>
      </c>
      <c r="G19" s="22">
        <f>Table1[[#This Row],[Gross Profit]]/SUMIF(Table1[Product Code],Table1[[#This Row],[Product Code]],Table1[Gross Profit])</f>
        <v>1.8683552196008767E-2</v>
      </c>
      <c r="H19" s="22">
        <f>Table1[[#This Row],[Gross Profit]]/SUM(Table1[Gross Profit])</f>
        <v>4.7597428542082041E-3</v>
      </c>
    </row>
    <row r="20" spans="1:8">
      <c r="A20" s="7">
        <v>19</v>
      </c>
      <c r="B20" s="5">
        <v>0.6</v>
      </c>
      <c r="C20" s="3">
        <v>3864</v>
      </c>
      <c r="D20" s="3">
        <f>B20*C20</f>
        <v>2318.4</v>
      </c>
      <c r="E20" s="7">
        <v>7</v>
      </c>
      <c r="F20" s="7">
        <v>1</v>
      </c>
      <c r="G20" s="22">
        <f>Table1[[#This Row],[Gross Profit]]/SUMIF(Table1[Product Code],Table1[[#This Row],[Product Code]],Table1[Gross Profit])</f>
        <v>7.5216449250877074E-2</v>
      </c>
      <c r="H20" s="22">
        <f>Table1[[#This Row],[Gross Profit]]/SUM(Table1[Gross Profit])</f>
        <v>9.1150034966598677E-3</v>
      </c>
    </row>
    <row r="21" spans="1:8">
      <c r="A21" s="7">
        <v>20</v>
      </c>
      <c r="B21" s="5">
        <v>0.24</v>
      </c>
      <c r="C21" s="3">
        <v>3988</v>
      </c>
      <c r="D21" s="3">
        <f>B21*C21</f>
        <v>957.12</v>
      </c>
      <c r="E21" s="7">
        <v>6</v>
      </c>
      <c r="F21" s="7">
        <v>3</v>
      </c>
      <c r="G21" s="22">
        <f>Table1[[#This Row],[Gross Profit]]/SUMIF(Table1[Product Code],Table1[[#This Row],[Product Code]],Table1[Gross Profit])</f>
        <v>1.8614554523207223E-2</v>
      </c>
      <c r="H21" s="22">
        <f>Table1[[#This Row],[Gross Profit]]/SUM(Table1[Gross Profit])</f>
        <v>3.7630055843353568E-3</v>
      </c>
    </row>
    <row r="22" spans="1:8">
      <c r="A22" s="7">
        <v>21</v>
      </c>
      <c r="B22" s="5">
        <v>0.09</v>
      </c>
      <c r="C22" s="3">
        <v>4072</v>
      </c>
      <c r="D22" s="3">
        <f>B22*C22</f>
        <v>366.47999999999996</v>
      </c>
      <c r="E22" s="7">
        <v>7</v>
      </c>
      <c r="F22" s="7">
        <v>3</v>
      </c>
      <c r="G22" s="22">
        <f>Table1[[#This Row],[Gross Profit]]/SUMIF(Table1[Product Code],Table1[[#This Row],[Product Code]],Table1[Gross Profit])</f>
        <v>1.1889805176613796E-2</v>
      </c>
      <c r="H22" s="22">
        <f>Table1[[#This Row],[Gross Profit]]/SUM(Table1[Gross Profit])</f>
        <v>1.440849931614867E-3</v>
      </c>
    </row>
    <row r="23" spans="1:8">
      <c r="A23" s="7">
        <v>22</v>
      </c>
      <c r="B23" s="5">
        <v>0.5</v>
      </c>
      <c r="C23" s="3">
        <v>4190</v>
      </c>
      <c r="D23" s="3">
        <f>B23*C23</f>
        <v>2095</v>
      </c>
      <c r="E23" s="7">
        <v>5</v>
      </c>
      <c r="F23" s="7">
        <v>3</v>
      </c>
      <c r="G23" s="22">
        <f>Table1[[#This Row],[Gross Profit]]/SUMIF(Table1[Product Code],Table1[[#This Row],[Product Code]],Table1[Gross Profit])</f>
        <v>3.2331693856669508E-2</v>
      </c>
      <c r="H23" s="22">
        <f>Table1[[#This Row],[Gross Profit]]/SUM(Table1[Gross Profit])</f>
        <v>8.2366857856721962E-3</v>
      </c>
    </row>
    <row r="24" spans="1:8">
      <c r="A24" s="7">
        <v>23</v>
      </c>
      <c r="B24" s="5">
        <v>0.17</v>
      </c>
      <c r="C24" s="3">
        <v>4219</v>
      </c>
      <c r="D24" s="3">
        <f>B24*C24</f>
        <v>717.23</v>
      </c>
      <c r="E24" s="7">
        <v>3</v>
      </c>
      <c r="F24" s="7">
        <v>4</v>
      </c>
      <c r="G24" s="22">
        <f>Table1[[#This Row],[Gross Profit]]/SUMIF(Table1[Product Code],Table1[[#This Row],[Product Code]],Table1[Gross Profit])</f>
        <v>5.518958120924148E-2</v>
      </c>
      <c r="H24" s="22">
        <f>Table1[[#This Row],[Gross Profit]]/SUM(Table1[Gross Profit])</f>
        <v>2.8198559169726346E-3</v>
      </c>
    </row>
    <row r="25" spans="1:8">
      <c r="A25" s="7">
        <v>24</v>
      </c>
      <c r="B25" s="5">
        <v>0.32</v>
      </c>
      <c r="C25" s="3">
        <v>4711</v>
      </c>
      <c r="D25" s="3">
        <f>B25*C25</f>
        <v>1507.52</v>
      </c>
      <c r="E25" s="7">
        <v>7</v>
      </c>
      <c r="F25" s="7">
        <v>1</v>
      </c>
      <c r="G25" s="22">
        <f>Table1[[#This Row],[Gross Profit]]/SUMIF(Table1[Product Code],Table1[[#This Row],[Product Code]],Table1[Gross Profit])</f>
        <v>4.890886023752683E-2</v>
      </c>
      <c r="H25" s="22">
        <f>Table1[[#This Row],[Gross Profit]]/SUM(Table1[Gross Profit])</f>
        <v>5.9269539644947735E-3</v>
      </c>
    </row>
    <row r="26" spans="1:8">
      <c r="A26" s="7">
        <v>25</v>
      </c>
      <c r="B26" s="5">
        <v>0.15</v>
      </c>
      <c r="C26" s="3">
        <v>4824</v>
      </c>
      <c r="D26" s="3">
        <f>B26*C26</f>
        <v>723.6</v>
      </c>
      <c r="E26" s="7">
        <v>6</v>
      </c>
      <c r="F26" s="7">
        <v>3</v>
      </c>
      <c r="G26" s="22">
        <f>Table1[[#This Row],[Gross Profit]]/SUMIF(Table1[Product Code],Table1[[#This Row],[Product Code]],Table1[Gross Profit])</f>
        <v>1.4072939289736654E-2</v>
      </c>
      <c r="H26" s="22">
        <f>Table1[[#This Row],[Gross Profit]]/SUM(Table1[Gross Profit])</f>
        <v>2.8449001596717906E-3</v>
      </c>
    </row>
    <row r="27" spans="1:8">
      <c r="A27" s="7">
        <v>26</v>
      </c>
      <c r="B27" s="5">
        <v>0.1</v>
      </c>
      <c r="C27" s="3">
        <v>4878</v>
      </c>
      <c r="D27" s="3">
        <f>B27*C27</f>
        <v>487.8</v>
      </c>
      <c r="E27" s="7">
        <v>7</v>
      </c>
      <c r="F27" s="7">
        <v>4</v>
      </c>
      <c r="G27" s="22">
        <f>Table1[[#This Row],[Gross Profit]]/SUMIF(Table1[Product Code],Table1[[#This Row],[Product Code]],Table1[Gross Profit])</f>
        <v>1.5825821232133296E-2</v>
      </c>
      <c r="H27" s="22">
        <f>Table1[[#This Row],[Gross Profit]]/SUM(Table1[Gross Profit])</f>
        <v>1.9178307046543665E-3</v>
      </c>
    </row>
    <row r="28" spans="1:8">
      <c r="A28" s="7">
        <v>27</v>
      </c>
      <c r="B28" s="5">
        <v>0.13</v>
      </c>
      <c r="C28" s="3">
        <v>5157</v>
      </c>
      <c r="D28" s="3">
        <f>B28*C28</f>
        <v>670.41</v>
      </c>
      <c r="E28" s="7">
        <v>7</v>
      </c>
      <c r="F28" s="7">
        <v>2</v>
      </c>
      <c r="G28" s="22">
        <f>Table1[[#This Row],[Gross Profit]]/SUMIF(Table1[Product Code],Table1[[#This Row],[Product Code]],Table1[Gross Profit])</f>
        <v>2.1750284567926367E-2</v>
      </c>
      <c r="H28" s="22">
        <f>Table1[[#This Row],[Gross Profit]]/SUM(Table1[Gross Profit])</f>
        <v>2.6357787673377073E-3</v>
      </c>
    </row>
    <row r="29" spans="1:8">
      <c r="A29" s="7">
        <v>28</v>
      </c>
      <c r="B29" s="5">
        <v>0.22</v>
      </c>
      <c r="C29" s="3">
        <v>5552</v>
      </c>
      <c r="D29" s="3">
        <f>B29*C29</f>
        <v>1221.44</v>
      </c>
      <c r="E29" s="7">
        <v>2</v>
      </c>
      <c r="F29" s="7">
        <v>3</v>
      </c>
      <c r="G29" s="22">
        <f>Table1[[#This Row],[Gross Profit]]/SUMIF(Table1[Product Code],Table1[[#This Row],[Product Code]],Table1[Gross Profit])</f>
        <v>7.5348833192375064E-2</v>
      </c>
      <c r="H29" s="22">
        <f>Table1[[#This Row],[Gross Profit]]/SUM(Table1[Gross Profit])</f>
        <v>4.8022040506212164E-3</v>
      </c>
    </row>
    <row r="30" spans="1:8">
      <c r="A30" s="7">
        <v>29</v>
      </c>
      <c r="B30" s="5">
        <v>0.17</v>
      </c>
      <c r="C30" s="3">
        <v>5876</v>
      </c>
      <c r="D30" s="3">
        <f>B30*C30</f>
        <v>998.92000000000007</v>
      </c>
      <c r="E30" s="7">
        <v>1</v>
      </c>
      <c r="F30" s="7">
        <v>3</v>
      </c>
      <c r="G30" s="22">
        <f>Table1[[#This Row],[Gross Profit]]/SUMIF(Table1[Product Code],Table1[[#This Row],[Product Code]],Table1[Gross Profit])</f>
        <v>4.2658936481777966E-2</v>
      </c>
      <c r="H30" s="22">
        <f>Table1[[#This Row],[Gross Profit]]/SUM(Table1[Gross Profit])</f>
        <v>3.9273461408227545E-3</v>
      </c>
    </row>
    <row r="31" spans="1:8">
      <c r="A31" s="7">
        <v>30</v>
      </c>
      <c r="B31" s="5">
        <v>0.19</v>
      </c>
      <c r="C31" s="3">
        <v>5888</v>
      </c>
      <c r="D31" s="3">
        <f>B31*C31</f>
        <v>1118.72</v>
      </c>
      <c r="E31" s="7">
        <v>6</v>
      </c>
      <c r="F31" s="7">
        <v>4</v>
      </c>
      <c r="G31" s="22">
        <f>Table1[[#This Row],[Gross Profit]]/SUMIF(Table1[Product Code],Table1[[#This Row],[Product Code]],Table1[Gross Profit])</f>
        <v>2.1757433170555816E-2</v>
      </c>
      <c r="H31" s="22">
        <f>Table1[[#This Row],[Gross Profit]]/SUM(Table1[Gross Profit])</f>
        <v>4.3983508936263488E-3</v>
      </c>
    </row>
    <row r="32" spans="1:8">
      <c r="A32" s="7">
        <v>31</v>
      </c>
      <c r="B32" s="5">
        <v>0.06</v>
      </c>
      <c r="C32" s="3">
        <v>7632</v>
      </c>
      <c r="D32" s="3">
        <f>B32*C32</f>
        <v>457.91999999999996</v>
      </c>
      <c r="E32" s="7">
        <v>5</v>
      </c>
      <c r="F32" s="7">
        <v>4</v>
      </c>
      <c r="G32" s="22">
        <f>Table1[[#This Row],[Gross Profit]]/SUMIF(Table1[Product Code],Table1[[#This Row],[Product Code]],Table1[Gross Profit])</f>
        <v>7.0669829359647253E-3</v>
      </c>
      <c r="H32" s="22">
        <f>Table1[[#This Row],[Gross Profit]]/SUM(Table1[Gross Profit])</f>
        <v>1.8003547279117002E-3</v>
      </c>
    </row>
    <row r="33" spans="1:8">
      <c r="A33" s="7">
        <v>32</v>
      </c>
      <c r="B33" s="5">
        <v>0.23</v>
      </c>
      <c r="C33" s="3">
        <v>8058</v>
      </c>
      <c r="D33" s="3">
        <f>B33*C33</f>
        <v>1853.3400000000001</v>
      </c>
      <c r="E33" s="7">
        <v>3</v>
      </c>
      <c r="F33" s="7">
        <v>3</v>
      </c>
      <c r="G33" s="22">
        <f>Table1[[#This Row],[Gross Profit]]/SUMIF(Table1[Product Code],Table1[[#This Row],[Product Code]],Table1[Gross Profit])</f>
        <v>0.14261123828944078</v>
      </c>
      <c r="H33" s="22">
        <f>Table1[[#This Row],[Gross Profit]]/SUM(Table1[Gross Profit])</f>
        <v>7.2865772000084532E-3</v>
      </c>
    </row>
    <row r="34" spans="1:8">
      <c r="A34" s="7">
        <v>33</v>
      </c>
      <c r="B34" s="5">
        <v>0.23</v>
      </c>
      <c r="C34" s="3">
        <v>12056</v>
      </c>
      <c r="D34" s="3">
        <f>B34*C34</f>
        <v>2772.88</v>
      </c>
      <c r="E34" s="7">
        <v>7</v>
      </c>
      <c r="F34" s="7">
        <v>2</v>
      </c>
      <c r="G34" s="22">
        <f>Table1[[#This Row],[Gross Profit]]/SUMIF(Table1[Product Code],Table1[[#This Row],[Product Code]],Table1[Gross Profit])</f>
        <v>8.9961261127834716E-2</v>
      </c>
      <c r="H34" s="22">
        <f>Table1[[#This Row],[Gross Profit]]/SUM(Table1[Gross Profit])</f>
        <v>1.0901833547195572E-2</v>
      </c>
    </row>
    <row r="35" spans="1:8">
      <c r="A35" s="7">
        <v>34</v>
      </c>
      <c r="B35" s="5">
        <v>0.14000000000000001</v>
      </c>
      <c r="C35" s="3">
        <v>12981</v>
      </c>
      <c r="D35" s="3">
        <f>B35*C35</f>
        <v>1817.3400000000001</v>
      </c>
      <c r="E35" s="7">
        <v>2</v>
      </c>
      <c r="F35" s="7">
        <v>4</v>
      </c>
      <c r="G35" s="22">
        <f>Table1[[#This Row],[Gross Profit]]/SUMIF(Table1[Product Code],Table1[[#This Row],[Product Code]],Table1[Gross Profit])</f>
        <v>0.11210902583330404</v>
      </c>
      <c r="H35" s="22">
        <f>Table1[[#This Row],[Gross Profit]]/SUM(Table1[Gross Profit])</f>
        <v>7.1450398786317478E-3</v>
      </c>
    </row>
    <row r="36" spans="1:8">
      <c r="A36" s="7">
        <v>35</v>
      </c>
      <c r="B36" s="5">
        <v>0.22</v>
      </c>
      <c r="C36" s="3">
        <v>13406</v>
      </c>
      <c r="D36" s="3">
        <f>B36*C36</f>
        <v>2949.32</v>
      </c>
      <c r="E36" s="7">
        <v>2</v>
      </c>
      <c r="F36" s="7">
        <v>3</v>
      </c>
      <c r="G36" s="22">
        <f>Table1[[#This Row],[Gross Profit]]/SUMIF(Table1[Product Code],Table1[[#This Row],[Product Code]],Table1[Gross Profit])</f>
        <v>0.18193920349009007</v>
      </c>
      <c r="H36" s="22">
        <f>Table1[[#This Row],[Gross Profit]]/SUM(Table1[Gross Profit])</f>
        <v>1.159552368563185E-2</v>
      </c>
    </row>
    <row r="37" spans="1:8">
      <c r="A37" s="7">
        <v>36</v>
      </c>
      <c r="B37" s="5">
        <v>0.14000000000000001</v>
      </c>
      <c r="C37" s="3">
        <v>15882</v>
      </c>
      <c r="D37" s="3">
        <f>B37*C37</f>
        <v>2223.48</v>
      </c>
      <c r="E37" s="7">
        <v>7</v>
      </c>
      <c r="F37" s="7">
        <v>3</v>
      </c>
      <c r="G37" s="22">
        <f>Table1[[#This Row],[Gross Profit]]/SUMIF(Table1[Product Code],Table1[[#This Row],[Product Code]],Table1[Gross Profit])</f>
        <v>7.2136935205460731E-2</v>
      </c>
      <c r="H37" s="22">
        <f>Table1[[#This Row],[Gross Profit]]/SUM(Table1[Gross Profit])</f>
        <v>8.7418167592966181E-3</v>
      </c>
    </row>
    <row r="38" spans="1:8">
      <c r="A38" s="7">
        <v>37</v>
      </c>
      <c r="B38" s="5">
        <v>0.28000000000000003</v>
      </c>
      <c r="C38" s="3">
        <v>16343</v>
      </c>
      <c r="D38" s="3">
        <f>B38*C38</f>
        <v>4576.0400000000009</v>
      </c>
      <c r="E38" s="7">
        <v>3</v>
      </c>
      <c r="F38" s="7">
        <v>3</v>
      </c>
      <c r="G38" s="22">
        <f>Table1[[#This Row],[Gross Profit]]/SUMIF(Table1[Product Code],Table1[[#This Row],[Product Code]],Table1[Gross Profit])</f>
        <v>0.35211819248600507</v>
      </c>
      <c r="H38" s="22">
        <f>Table1[[#This Row],[Gross Profit]]/SUM(Table1[Gross Profit])</f>
        <v>1.7991123447573941E-2</v>
      </c>
    </row>
    <row r="39" spans="1:8">
      <c r="A39" s="7">
        <v>38</v>
      </c>
      <c r="B39" s="5">
        <v>0.27</v>
      </c>
      <c r="C39" s="3">
        <v>19985</v>
      </c>
      <c r="D39" s="3">
        <f>B39*C39</f>
        <v>5395.9500000000007</v>
      </c>
      <c r="E39" s="7">
        <v>5</v>
      </c>
      <c r="F39" s="7">
        <v>3</v>
      </c>
      <c r="G39" s="22">
        <f>Table1[[#This Row],[Gross Profit]]/SUMIF(Table1[Product Code],Table1[[#This Row],[Product Code]],Table1[Gross Profit])</f>
        <v>8.3274560126919264E-2</v>
      </c>
      <c r="H39" s="22">
        <f>Table1[[#This Row],[Gross Profit]]/SUM(Table1[Gross Profit])</f>
        <v>2.1214675257851024E-2</v>
      </c>
    </row>
    <row r="40" spans="1:8">
      <c r="A40" s="7">
        <v>39</v>
      </c>
      <c r="B40" s="5">
        <v>0.03</v>
      </c>
      <c r="C40" s="3">
        <v>20160</v>
      </c>
      <c r="D40" s="3">
        <f>B40*C40</f>
        <v>604.79999999999995</v>
      </c>
      <c r="E40" s="7">
        <v>5</v>
      </c>
      <c r="F40" s="7">
        <v>5</v>
      </c>
      <c r="G40" s="22">
        <f>Table1[[#This Row],[Gross Profit]]/SUMIF(Table1[Product Code],Table1[[#This Row],[Product Code]],Table1[Gross Profit])</f>
        <v>9.3337510475005811E-3</v>
      </c>
      <c r="H40" s="22">
        <f>Table1[[#This Row],[Gross Profit]]/SUM(Table1[Gross Profit])</f>
        <v>2.3778269991286609E-3</v>
      </c>
    </row>
    <row r="41" spans="1:8">
      <c r="A41" s="7">
        <v>40</v>
      </c>
      <c r="B41" s="5">
        <v>0.46</v>
      </c>
      <c r="C41" s="3">
        <v>26616</v>
      </c>
      <c r="D41" s="3">
        <f>B41*C41</f>
        <v>12243.36</v>
      </c>
      <c r="E41" s="7">
        <v>5</v>
      </c>
      <c r="F41" s="7">
        <v>2</v>
      </c>
      <c r="G41" s="22">
        <f>Table1[[#This Row],[Gross Profit]]/SUMIF(Table1[Product Code],Table1[[#This Row],[Product Code]],Table1[Gross Profit])</f>
        <v>0.18894919680047409</v>
      </c>
      <c r="H41" s="22">
        <f>Table1[[#This Row],[Gross Profit]]/SUM(Table1[Gross Profit])</f>
        <v>4.8135899418075202E-2</v>
      </c>
    </row>
    <row r="42" spans="1:8">
      <c r="A42" s="7">
        <v>41</v>
      </c>
      <c r="B42" s="5">
        <v>0.26</v>
      </c>
      <c r="C42" s="3">
        <v>28018</v>
      </c>
      <c r="D42" s="3">
        <f>B42*C42</f>
        <v>7284.68</v>
      </c>
      <c r="E42" s="7">
        <v>5</v>
      </c>
      <c r="F42" s="7">
        <v>3</v>
      </c>
      <c r="G42" s="22">
        <f>Table1[[#This Row],[Gross Profit]]/SUMIF(Table1[Product Code],Table1[[#This Row],[Product Code]],Table1[Gross Profit])</f>
        <v>0.11242293250778197</v>
      </c>
      <c r="H42" s="22">
        <f>Table1[[#This Row],[Gross Profit]]/SUM(Table1[Gross Profit])</f>
        <v>2.8640391507957299E-2</v>
      </c>
    </row>
    <row r="43" spans="1:8">
      <c r="A43" s="7">
        <v>42</v>
      </c>
      <c r="B43" s="5">
        <v>0.11</v>
      </c>
      <c r="C43" s="3">
        <v>28950</v>
      </c>
      <c r="D43" s="3">
        <f>B43*C43</f>
        <v>3184.5</v>
      </c>
      <c r="E43" s="7">
        <v>4</v>
      </c>
      <c r="F43" s="7">
        <v>4</v>
      </c>
      <c r="G43" s="22">
        <f>Table1[[#This Row],[Gross Profit]]/SUMIF(Table1[Product Code],Table1[[#This Row],[Product Code]],Table1[Gross Profit])</f>
        <v>5.8228993815055058E-2</v>
      </c>
      <c r="H43" s="22">
        <f>Table1[[#This Row],[Gross Profit]]/SUM(Table1[Gross Profit])</f>
        <v>1.2520155553447786E-2</v>
      </c>
    </row>
    <row r="44" spans="1:8">
      <c r="A44" s="7">
        <v>43</v>
      </c>
      <c r="B44" s="5">
        <v>0.18</v>
      </c>
      <c r="C44" s="3">
        <v>29646</v>
      </c>
      <c r="D44" s="3">
        <f>B44*C44</f>
        <v>5336.28</v>
      </c>
      <c r="E44" s="7">
        <v>4</v>
      </c>
      <c r="F44" s="7">
        <v>3</v>
      </c>
      <c r="G44" s="22">
        <f>Table1[[#This Row],[Gross Profit]]/SUMIF(Table1[Product Code],Table1[[#This Row],[Product Code]],Table1[Gross Profit])</f>
        <v>9.7574569042362072E-2</v>
      </c>
      <c r="H44" s="22">
        <f>Table1[[#This Row],[Gross Profit]]/SUM(Table1[Gross Profit])</f>
        <v>2.098007714766913E-2</v>
      </c>
    </row>
    <row r="45" spans="1:8">
      <c r="A45" s="7">
        <v>44</v>
      </c>
      <c r="B45" s="5">
        <v>0.37</v>
      </c>
      <c r="C45" s="3">
        <v>31019</v>
      </c>
      <c r="D45" s="3">
        <f>B45*C45</f>
        <v>11477.03</v>
      </c>
      <c r="E45" s="7">
        <v>6</v>
      </c>
      <c r="F45" s="7">
        <v>1</v>
      </c>
      <c r="G45" s="22">
        <f>Table1[[#This Row],[Gross Profit]]/SUMIF(Table1[Product Code],Table1[[#This Row],[Product Code]],Table1[Gross Profit])</f>
        <v>0.22321109233898048</v>
      </c>
      <c r="H45" s="22">
        <f>Table1[[#This Row],[Gross Profit]]/SUM(Table1[Gross Profit])</f>
        <v>4.5123002321113784E-2</v>
      </c>
    </row>
    <row r="46" spans="1:8">
      <c r="A46" s="7">
        <v>45</v>
      </c>
      <c r="B46" s="5">
        <v>0.2</v>
      </c>
      <c r="C46" s="3">
        <v>31305</v>
      </c>
      <c r="D46" s="3">
        <f>B46*C46</f>
        <v>6261</v>
      </c>
      <c r="E46" s="7">
        <v>2</v>
      </c>
      <c r="F46" s="7">
        <v>3</v>
      </c>
      <c r="G46" s="22">
        <f>Table1[[#This Row],[Gross Profit]]/SUMIF(Table1[Product Code],Table1[[#This Row],[Product Code]],Table1[Gross Profit])</f>
        <v>0.3862318612600375</v>
      </c>
      <c r="H46" s="22">
        <f>Table1[[#This Row],[Gross Profit]]/SUM(Table1[Gross Profit])</f>
        <v>2.4615699142765454E-2</v>
      </c>
    </row>
    <row r="47" spans="1:8">
      <c r="A47" s="7">
        <v>46</v>
      </c>
      <c r="B47" s="5">
        <v>0.21</v>
      </c>
      <c r="C47" s="3">
        <v>34769</v>
      </c>
      <c r="D47" s="3">
        <f>B47*C47</f>
        <v>7301.49</v>
      </c>
      <c r="E47" s="7">
        <v>7</v>
      </c>
      <c r="F47" s="7">
        <v>1</v>
      </c>
      <c r="G47" s="22">
        <f>Table1[[#This Row],[Gross Profit]]/SUMIF(Table1[Product Code],Table1[[#This Row],[Product Code]],Table1[Gross Profit])</f>
        <v>0.23688412355106384</v>
      </c>
      <c r="H47" s="22">
        <f>Table1[[#This Row],[Gross Profit]]/SUM(Table1[Gross Profit])</f>
        <v>2.8706481573855698E-2</v>
      </c>
    </row>
    <row r="48" spans="1:8">
      <c r="A48" s="7">
        <v>47</v>
      </c>
      <c r="B48" s="5">
        <v>0.1</v>
      </c>
      <c r="C48" s="3">
        <v>34817</v>
      </c>
      <c r="D48" s="3">
        <f>B48*C48</f>
        <v>3481.7000000000003</v>
      </c>
      <c r="E48" s="7">
        <v>4</v>
      </c>
      <c r="F48" s="7">
        <v>3</v>
      </c>
      <c r="G48" s="22">
        <f>Table1[[#This Row],[Gross Profit]]/SUMIF(Table1[Product Code],Table1[[#This Row],[Product Code]],Table1[Gross Profit])</f>
        <v>6.3663334201876975E-2</v>
      </c>
      <c r="H48" s="22">
        <f>Table1[[#This Row],[Gross Profit]]/SUM(Table1[Gross Profit])</f>
        <v>1.3688624773257704E-2</v>
      </c>
    </row>
    <row r="49" spans="1:9">
      <c r="A49" s="7">
        <v>48</v>
      </c>
      <c r="B49" s="5">
        <v>0.14000000000000001</v>
      </c>
      <c r="C49" s="3">
        <v>38609</v>
      </c>
      <c r="D49" s="3">
        <f>B49*C49</f>
        <v>5405.26</v>
      </c>
      <c r="E49" s="7">
        <v>1</v>
      </c>
      <c r="F49" s="7">
        <v>3</v>
      </c>
      <c r="G49" s="22">
        <f>Table1[[#This Row],[Gross Profit]]/SUMIF(Table1[Product Code],Table1[[#This Row],[Product Code]],Table1[Gross Profit])</f>
        <v>0.23083194150431985</v>
      </c>
      <c r="H49" s="22">
        <f>Table1[[#This Row],[Gross Profit]]/SUM(Table1[Gross Profit])</f>
        <v>2.1251278381795944E-2</v>
      </c>
    </row>
    <row r="50" spans="1:9">
      <c r="A50" s="7">
        <v>49</v>
      </c>
      <c r="B50" s="5">
        <v>0.09</v>
      </c>
      <c r="C50" s="3">
        <v>38923</v>
      </c>
      <c r="D50" s="3">
        <f>B50*C50</f>
        <v>3503.0699999999997</v>
      </c>
      <c r="E50" s="7">
        <v>2</v>
      </c>
      <c r="F50" s="7">
        <v>5</v>
      </c>
      <c r="G50" s="22">
        <f>Table1[[#This Row],[Gross Profit]]/SUMIF(Table1[Product Code],Table1[[#This Row],[Product Code]],Table1[Gross Profit])</f>
        <v>0.21609922476029381</v>
      </c>
      <c r="H50" s="22">
        <f>Table1[[#This Row],[Gross Profit]]/SUM(Table1[Gross Profit])</f>
        <v>1.3772642899863819E-2</v>
      </c>
    </row>
    <row r="51" spans="1:9">
      <c r="A51" s="7">
        <v>50</v>
      </c>
      <c r="B51" s="5">
        <v>0.16</v>
      </c>
      <c r="C51" s="3">
        <v>40536</v>
      </c>
      <c r="D51" s="3">
        <f>B51*C51</f>
        <v>6485.76</v>
      </c>
      <c r="E51" s="7">
        <v>4</v>
      </c>
      <c r="F51" s="7">
        <v>3</v>
      </c>
      <c r="G51" s="22">
        <f>Table1[[#This Row],[Gross Profit]]/SUMIF(Table1[Product Code],Table1[[#This Row],[Product Code]],Table1[Gross Profit])</f>
        <v>0.11859295931101634</v>
      </c>
      <c r="H51" s="22">
        <f>Table1[[#This Row],[Gross Profit]]/SUM(Table1[Gross Profit])</f>
        <v>2.5499363819227353E-2</v>
      </c>
    </row>
    <row r="52" spans="1:9">
      <c r="A52" s="7">
        <v>51</v>
      </c>
      <c r="B52" s="5">
        <v>0.22</v>
      </c>
      <c r="C52" s="3">
        <v>54851</v>
      </c>
      <c r="D52" s="3">
        <f>B52*C52</f>
        <v>12067.22</v>
      </c>
      <c r="E52" s="7">
        <v>6</v>
      </c>
      <c r="F52" s="7">
        <v>2</v>
      </c>
      <c r="G52" s="22">
        <f>Table1[[#This Row],[Gross Profit]]/SUMIF(Table1[Product Code],Table1[[#This Row],[Product Code]],Table1[Gross Profit])</f>
        <v>0.23468940637907121</v>
      </c>
      <c r="H52" s="22">
        <f>Table1[[#This Row],[Gross Profit]]/SUM(Table1[Gross Profit])</f>
        <v>4.7443388757317059E-2</v>
      </c>
    </row>
    <row r="53" spans="1:9">
      <c r="A53" s="7">
        <v>52</v>
      </c>
      <c r="B53" s="5">
        <v>0.21</v>
      </c>
      <c r="C53" s="3">
        <v>54861</v>
      </c>
      <c r="D53" s="3">
        <f>B53*C53</f>
        <v>11520.81</v>
      </c>
      <c r="E53" s="7">
        <v>7</v>
      </c>
      <c r="F53" s="7">
        <v>2</v>
      </c>
      <c r="G53" s="22">
        <f>Table1[[#This Row],[Gross Profit]]/SUMIF(Table1[Product Code],Table1[[#This Row],[Product Code]],Table1[Gross Profit])</f>
        <v>0.37377261072032308</v>
      </c>
      <c r="H53" s="22">
        <f>Table1[[#This Row],[Gross Profit]]/SUM(Table1[Gross Profit])</f>
        <v>4.5295127430276895E-2</v>
      </c>
    </row>
    <row r="54" spans="1:9">
      <c r="A54" s="7">
        <v>53</v>
      </c>
      <c r="B54" s="5">
        <v>0.17</v>
      </c>
      <c r="C54" s="3">
        <v>58063</v>
      </c>
      <c r="D54" s="3">
        <f>B54*C54</f>
        <v>9870.7100000000009</v>
      </c>
      <c r="E54" s="7">
        <v>5</v>
      </c>
      <c r="F54" s="7">
        <v>4</v>
      </c>
      <c r="G54" s="22">
        <f>Table1[[#This Row],[Gross Profit]]/SUMIF(Table1[Product Code],Table1[[#This Row],[Product Code]],Table1[Gross Profit])</f>
        <v>0.15233258895845647</v>
      </c>
      <c r="H54" s="22">
        <f>Table1[[#This Row],[Gross Profit]]/SUM(Table1[Gross Profit])</f>
        <v>3.8807607041285164E-2</v>
      </c>
    </row>
    <row r="55" spans="1:9">
      <c r="A55" s="7">
        <v>54</v>
      </c>
      <c r="B55" s="5">
        <v>0.11</v>
      </c>
      <c r="C55" s="3">
        <v>62862</v>
      </c>
      <c r="D55" s="3">
        <f>B55*C55</f>
        <v>6914.82</v>
      </c>
      <c r="E55" s="7">
        <v>4</v>
      </c>
      <c r="F55" s="7">
        <v>5</v>
      </c>
      <c r="G55" s="22">
        <f>Table1[[#This Row],[Gross Profit]]/SUMIF(Table1[Product Code],Table1[[#This Row],[Product Code]],Table1[Gross Profit])</f>
        <v>0.12643837682908432</v>
      </c>
      <c r="H55" s="22">
        <f>Table1[[#This Row],[Gross Profit]]/SUM(Table1[Gross Profit])</f>
        <v>2.7186252794502059E-2</v>
      </c>
    </row>
    <row r="56" spans="1:9">
      <c r="A56" s="7">
        <v>55</v>
      </c>
      <c r="B56" s="5">
        <v>7.0000000000000007E-2</v>
      </c>
      <c r="C56" s="3">
        <v>78574</v>
      </c>
      <c r="D56" s="3">
        <f>B56*C56</f>
        <v>5500.18</v>
      </c>
      <c r="E56" s="7">
        <v>3</v>
      </c>
      <c r="F56" s="7">
        <v>5</v>
      </c>
      <c r="G56" s="22">
        <f>Table1[[#This Row],[Gross Profit]]/SUMIF(Table1[Product Code],Table1[[#This Row],[Product Code]],Table1[Gross Profit])</f>
        <v>0.42322913260104261</v>
      </c>
      <c r="H56" s="22">
        <f>Table1[[#This Row],[Gross Profit]]/SUM(Table1[Gross Profit])</f>
        <v>2.1624465119159192E-2</v>
      </c>
    </row>
    <row r="57" spans="1:9">
      <c r="A57" s="7">
        <v>56</v>
      </c>
      <c r="B57" s="5">
        <v>0.14000000000000001</v>
      </c>
      <c r="C57" s="3">
        <v>92776</v>
      </c>
      <c r="D57" s="3">
        <f>B57*C57</f>
        <v>12988.640000000001</v>
      </c>
      <c r="E57" s="7">
        <v>4</v>
      </c>
      <c r="F57" s="7">
        <v>3</v>
      </c>
      <c r="G57" s="22">
        <f>Table1[[#This Row],[Gross Profit]]/SUMIF(Table1[Product Code],Table1[[#This Row],[Product Code]],Table1[Gross Profit])</f>
        <v>0.23749896003327894</v>
      </c>
      <c r="H57" s="22">
        <f>Table1[[#This Row],[Gross Profit]]/SUM(Table1[Gross Profit])</f>
        <v>5.1066036497953854E-2</v>
      </c>
    </row>
    <row r="58" spans="1:9">
      <c r="A58" s="7">
        <v>57</v>
      </c>
      <c r="B58" s="5">
        <v>0.15</v>
      </c>
      <c r="C58" s="3">
        <v>112837</v>
      </c>
      <c r="D58" s="3">
        <f>B58*C58</f>
        <v>16925.55</v>
      </c>
      <c r="E58" s="7">
        <v>1</v>
      </c>
      <c r="F58" s="7">
        <v>4</v>
      </c>
      <c r="G58" s="22">
        <f>Table1[[#This Row],[Gross Profit]]/SUMIF(Table1[Product Code],Table1[[#This Row],[Product Code]],Table1[Gross Profit])</f>
        <v>0.72280659349012633</v>
      </c>
      <c r="H58" s="22">
        <f>Table1[[#This Row],[Gross Profit]]/SUM(Table1[Gross Profit])</f>
        <v>6.6544361384097389E-2</v>
      </c>
    </row>
    <row r="59" spans="1:9">
      <c r="A59" s="7">
        <v>58</v>
      </c>
      <c r="B59" s="5">
        <v>0.13</v>
      </c>
      <c r="C59" s="3">
        <v>115999</v>
      </c>
      <c r="D59" s="3">
        <f>B59*C59</f>
        <v>15079.87</v>
      </c>
      <c r="E59" s="7">
        <v>4</v>
      </c>
      <c r="F59" s="7">
        <v>5</v>
      </c>
      <c r="G59" s="22">
        <f>Table1[[#This Row],[Gross Profit]]/SUMIF(Table1[Product Code],Table1[[#This Row],[Product Code]],Table1[Gross Profit])</f>
        <v>0.27573737068985221</v>
      </c>
      <c r="H59" s="22">
        <f>Table1[[#This Row],[Gross Profit]]/SUM(Table1[Gross Profit])</f>
        <v>5.9287900180804105E-2</v>
      </c>
    </row>
    <row r="60" spans="1:9">
      <c r="A60" s="7">
        <v>59</v>
      </c>
      <c r="B60" s="5">
        <v>0.21</v>
      </c>
      <c r="C60" s="3">
        <v>120854</v>
      </c>
      <c r="D60" s="3">
        <f>B60*C60</f>
        <v>25379.34</v>
      </c>
      <c r="E60" s="7">
        <v>5</v>
      </c>
      <c r="F60" s="7">
        <v>4</v>
      </c>
      <c r="G60" s="22">
        <f>Table1[[#This Row],[Gross Profit]]/SUMIF(Table1[Product Code],Table1[[#This Row],[Product Code]],Table1[Gross Profit])</f>
        <v>0.3916740101023039</v>
      </c>
      <c r="H60" s="22">
        <f>Table1[[#This Row],[Gross Profit]]/SUM(Table1[Gross Profit])</f>
        <v>9.9781216719685831E-2</v>
      </c>
    </row>
    <row r="61" spans="1:9">
      <c r="A61" s="7">
        <v>60</v>
      </c>
      <c r="B61" s="5">
        <v>0.14000000000000001</v>
      </c>
      <c r="C61" s="3">
        <v>179101</v>
      </c>
      <c r="D61" s="3">
        <f>B61*C61</f>
        <v>25074.140000000003</v>
      </c>
      <c r="E61" s="7">
        <v>6</v>
      </c>
      <c r="F61" s="7">
        <v>3</v>
      </c>
      <c r="G61" s="22">
        <f>Table1[[#This Row],[Gross Profit]]/SUMIF(Table1[Product Code],Table1[[#This Row],[Product Code]],Table1[Gross Profit])</f>
        <v>0.48765457429844866</v>
      </c>
      <c r="H61" s="22">
        <f>Table1[[#This Row],[Gross Profit]]/SUM(Table1[Gross Profit])</f>
        <v>9.8581294761792213E-2</v>
      </c>
    </row>
    <row r="62" spans="1:9" ht="15">
      <c r="A62" s="7"/>
      <c r="B62" s="25">
        <f>AVERAGE(Table1[ [ Percent Gross Profit] ])</f>
        <v>0.21192500000000006</v>
      </c>
      <c r="C62" s="26">
        <f>AVERAGE(Table1[Gross Sales])</f>
        <v>25016.5</v>
      </c>
      <c r="D62" s="26">
        <f>AVERAGE(Table1[Gross Profit])</f>
        <v>4239.1645833333332</v>
      </c>
      <c r="E62" s="27"/>
      <c r="F62" s="28">
        <f>AVERAGE(Table1[Competitive Rating*])</f>
        <v>3</v>
      </c>
      <c r="G62" s="23">
        <f>AVERAGE(Table1[% of Product Profit])</f>
        <v>0.1166666666666667</v>
      </c>
      <c r="H62" s="23">
        <f>AVERAGE(Table1[% of Total Profit])</f>
        <v>1.6666666666666666E-2</v>
      </c>
      <c r="I62" s="2" t="s">
        <v>11</v>
      </c>
    </row>
    <row r="63" spans="1:9" ht="15">
      <c r="A63" s="7"/>
      <c r="B63" s="10">
        <f>MEDIAN(Table1[ [ Percent Gross Profit] ])</f>
        <v>0.2</v>
      </c>
      <c r="C63" s="11">
        <f>MEDIAN(Table1[Gross Sales])</f>
        <v>6760</v>
      </c>
      <c r="D63" s="11">
        <f>MEDIAN(Table1[Gross Profit])</f>
        <v>1662.43</v>
      </c>
      <c r="E63" s="12"/>
      <c r="F63" s="13">
        <f>MEDIAN(Table1[Competitive Rating*])</f>
        <v>3</v>
      </c>
      <c r="G63" s="23">
        <f>MEDIAN(Table1[% of Product Profit])</f>
        <v>5.6709287512148265E-2</v>
      </c>
      <c r="H63" s="23">
        <f>MEDIAN(Table1[% of Total Profit])</f>
        <v>6.5359969215632602E-3</v>
      </c>
      <c r="I63" s="2" t="s">
        <v>12</v>
      </c>
    </row>
    <row r="64" spans="1:9" ht="15">
      <c r="A64" s="7"/>
      <c r="B64" s="10">
        <f>_xlfn.MODE.SNGL(Table1[ [ Percent Gross Profit] ])</f>
        <v>0.22</v>
      </c>
      <c r="C64" s="11">
        <f>_xlfn.MODE.SNGL(Table1[Gross Sales])</f>
        <v>476</v>
      </c>
      <c r="D64" s="11">
        <f>_xlfn.MODE.SNGL(Table1[Gross Profit])</f>
        <v>99.96</v>
      </c>
      <c r="E64" s="12"/>
      <c r="F64" s="13">
        <f>_xlfn.MODE.SNGL(Table1[Competitive Rating*])</f>
        <v>3</v>
      </c>
      <c r="G64" s="23">
        <f>_xlfn.MODE.SNGL(Table1[% of Product Profit])</f>
        <v>1.5426616314619015E-3</v>
      </c>
      <c r="H64" s="23">
        <f>_xlfn.MODE.SNGL(Table1[% of Total Profit])</f>
        <v>3.9300196235598697E-4</v>
      </c>
      <c r="I64" s="2" t="s">
        <v>13</v>
      </c>
    </row>
    <row r="65" spans="1:15" ht="15">
      <c r="A65" s="7"/>
      <c r="B65" s="10">
        <f>_xlfn.STDEV.P(Table1[ [ Percent Gross Profit] ])</f>
        <v>0.11306030194104372</v>
      </c>
      <c r="C65" s="11">
        <f>_xlfn.STDEV.P(Table1[Gross Sales])</f>
        <v>36040.424586612928</v>
      </c>
      <c r="D65" s="11">
        <f>_xlfn.STDEV.P(Table1[Gross Profit])</f>
        <v>5763.0946901163916</v>
      </c>
      <c r="E65" s="12"/>
      <c r="F65" s="13">
        <f>_xlfn.STDEV.P(Table1[Competitive Rating*])</f>
        <v>1.0801234497346435</v>
      </c>
      <c r="G65" s="23">
        <f>_xlfn.STDEV.P(Table1[% of Product Profit])</f>
        <v>0.1478314716626615</v>
      </c>
      <c r="H65" s="23">
        <f>_xlfn.STDEV.P(Table1[% of Total Profit])</f>
        <v>2.2658138479983103E-2</v>
      </c>
      <c r="I65" s="2" t="s">
        <v>14</v>
      </c>
    </row>
    <row r="66" spans="1:15" ht="15">
      <c r="A66" s="8"/>
      <c r="B66" s="10"/>
      <c r="C66" s="11">
        <f>SUM(Table1[Gross Sales])</f>
        <v>1500990</v>
      </c>
      <c r="D66" s="11">
        <f>SUM(Table1[Gross Profit])</f>
        <v>254349.875</v>
      </c>
      <c r="E66" s="13"/>
      <c r="F66" s="13"/>
      <c r="G66" s="23"/>
      <c r="H66" s="23"/>
      <c r="I66" s="2" t="s">
        <v>15</v>
      </c>
    </row>
    <row r="67" spans="1:15" ht="25.5" customHeight="1">
      <c r="A67" s="7" t="s">
        <v>0</v>
      </c>
      <c r="B67" s="5" t="s">
        <v>1</v>
      </c>
      <c r="C67" s="3" t="s">
        <v>2</v>
      </c>
      <c r="D67" s="3" t="s">
        <v>3</v>
      </c>
      <c r="E67" s="7" t="s">
        <v>4</v>
      </c>
      <c r="F67" s="7" t="s">
        <v>5</v>
      </c>
      <c r="G67" s="29" t="s">
        <v>6</v>
      </c>
      <c r="H67" s="29" t="s">
        <v>7</v>
      </c>
      <c r="J67" t="s">
        <v>16</v>
      </c>
      <c r="K67" t="s">
        <v>17</v>
      </c>
    </row>
    <row r="68" spans="1:15">
      <c r="A68" s="7">
        <v>1</v>
      </c>
      <c r="B68" s="5">
        <v>0.51</v>
      </c>
      <c r="C68" s="3">
        <v>170</v>
      </c>
      <c r="D68" s="3">
        <f>B68*C68</f>
        <v>86.7</v>
      </c>
      <c r="E68" s="7">
        <v>1</v>
      </c>
      <c r="F68" s="7">
        <v>2</v>
      </c>
      <c r="G68" s="29">
        <f>Table2[[#This Row],[Gross Profit]]/SUMIF(Table2[Product Code],Table2[[#This Row],[Product Code]],Table2[Gross Profit])</f>
        <v>3.7025285237758275E-3</v>
      </c>
      <c r="H68" s="29">
        <f>Table2[[#This Row],[Gross Profit]]/SUM(Table1[Gross Profit])</f>
        <v>3.4086904898223363E-4</v>
      </c>
      <c r="J68" s="7">
        <v>1</v>
      </c>
      <c r="K68" s="3">
        <f>SUMIF(Table2[Competitive Rating*], J68, Table2[Gross Profit])</f>
        <v>0</v>
      </c>
      <c r="O68" s="7"/>
    </row>
    <row r="69" spans="1:15">
      <c r="A69" s="7">
        <v>29</v>
      </c>
      <c r="B69" s="5">
        <v>0.17</v>
      </c>
      <c r="C69" s="3">
        <v>5876</v>
      </c>
      <c r="D69" s="3">
        <f>B69*C69</f>
        <v>998.92000000000007</v>
      </c>
      <c r="E69" s="7">
        <v>1</v>
      </c>
      <c r="F69" s="7">
        <v>3</v>
      </c>
      <c r="G69" s="29">
        <f>Table2[[#This Row],[Gross Profit]]/SUMIF(Table2[Product Code],Table2[[#This Row],[Product Code]],Table2[Gross Profit])</f>
        <v>4.2658936481777966E-2</v>
      </c>
      <c r="H69" s="29">
        <f>Table2[[#This Row],[Gross Profit]]/SUM(Table1[Gross Profit])</f>
        <v>3.9273461408227545E-3</v>
      </c>
      <c r="J69" s="7">
        <v>2</v>
      </c>
      <c r="K69" s="3">
        <f>SUMIF(Table2[Competitive Rating*], J69, Table2[Gross Profit])</f>
        <v>86.7</v>
      </c>
      <c r="O69" s="7"/>
    </row>
    <row r="70" spans="1:15">
      <c r="A70" s="7">
        <v>48</v>
      </c>
      <c r="B70" s="5">
        <v>0.14000000000000001</v>
      </c>
      <c r="C70" s="3">
        <v>38609</v>
      </c>
      <c r="D70" s="3">
        <f>B70*C70</f>
        <v>5405.26</v>
      </c>
      <c r="E70" s="7">
        <v>1</v>
      </c>
      <c r="F70" s="7">
        <v>3</v>
      </c>
      <c r="G70" s="29">
        <f>Table2[[#This Row],[Gross Profit]]/SUMIF(Table2[Product Code],Table2[[#This Row],[Product Code]],Table2[Gross Profit])</f>
        <v>0.23083194150431985</v>
      </c>
      <c r="H70" s="29">
        <f>Table2[[#This Row],[Gross Profit]]/SUM(Table1[Gross Profit])</f>
        <v>2.1251278381795944E-2</v>
      </c>
      <c r="J70" s="7">
        <v>3</v>
      </c>
      <c r="K70" s="3">
        <f>SUMIF(Table2[Competitive Rating*], J70, Table2[Gross Profit])</f>
        <v>6404.18</v>
      </c>
      <c r="O70" s="7"/>
    </row>
    <row r="71" spans="1:15">
      <c r="A71" s="7">
        <v>57</v>
      </c>
      <c r="B71" s="5">
        <v>0.15</v>
      </c>
      <c r="C71" s="3">
        <v>112837</v>
      </c>
      <c r="D71" s="3">
        <f>B71*C71</f>
        <v>16925.55</v>
      </c>
      <c r="E71" s="7">
        <v>1</v>
      </c>
      <c r="F71" s="7">
        <v>4</v>
      </c>
      <c r="G71" s="29">
        <f>Table2[[#This Row],[Gross Profit]]/SUMIF(Table2[Product Code],Table2[[#This Row],[Product Code]],Table2[Gross Profit])</f>
        <v>0.72280659349012633</v>
      </c>
      <c r="H71" s="29">
        <f>Table2[[#This Row],[Gross Profit]]/SUM(Table1[Gross Profit])</f>
        <v>6.6544361384097389E-2</v>
      </c>
      <c r="J71" s="7">
        <v>4</v>
      </c>
      <c r="K71" s="3">
        <f>SUMIF(Table2[Competitive Rating*], J71, Table2[Gross Profit])</f>
        <v>16925.55</v>
      </c>
      <c r="O71" s="7"/>
    </row>
    <row r="72" spans="1:15" ht="15">
      <c r="A72" s="7"/>
      <c r="B72" s="10">
        <f>AVERAGE(Table2[ [ Percent Gross Profit] ])</f>
        <v>0.24250000000000002</v>
      </c>
      <c r="C72" s="11">
        <f>AVERAGE(Table2[Gross Sales])</f>
        <v>39373</v>
      </c>
      <c r="D72" s="11">
        <f>AVERAGE(Table2[Gross Profit])</f>
        <v>5854.1075000000001</v>
      </c>
      <c r="E72" s="12"/>
      <c r="F72" s="13">
        <f>AVERAGE(Table2[Competitive Rating*])</f>
        <v>3</v>
      </c>
      <c r="G72" s="23">
        <f>AVERAGE(Table2[% of Product Profit])</f>
        <v>0.25</v>
      </c>
      <c r="H72" s="23">
        <f>AVERAGE(Table2[% of Total Profit])</f>
        <v>2.3015963738924582E-2</v>
      </c>
      <c r="I72" s="2" t="s">
        <v>11</v>
      </c>
      <c r="J72" s="7">
        <v>5</v>
      </c>
      <c r="K72" s="3">
        <f>SUMIF(Table2[Competitive Rating*], J72, Table2[Gross Profit])</f>
        <v>0</v>
      </c>
    </row>
    <row r="73" spans="1:15" ht="15">
      <c r="A73" s="7"/>
      <c r="B73" s="10">
        <f>MEDIAN(Table2[ [ Percent Gross Profit] ])</f>
        <v>0.16</v>
      </c>
      <c r="C73" s="11">
        <f>MEDIAN(Table2[Gross Sales])</f>
        <v>22242.5</v>
      </c>
      <c r="D73" s="11">
        <f>MEDIAN(Table2[Gross Profit])</f>
        <v>3202.09</v>
      </c>
      <c r="E73" s="12"/>
      <c r="F73" s="13">
        <f>MEDIAN(Table2[Competitive Rating*])</f>
        <v>3</v>
      </c>
      <c r="G73" s="23">
        <f>MEDIAN(Table2[% of Product Profit])</f>
        <v>0.13674543899304892</v>
      </c>
      <c r="H73" s="23">
        <f>MEDIAN(Table2[% of Total Profit])</f>
        <v>1.2589312261309349E-2</v>
      </c>
      <c r="I73" s="2" t="s">
        <v>12</v>
      </c>
    </row>
    <row r="74" spans="1:15" ht="15">
      <c r="A74" s="7"/>
      <c r="B74" s="10" t="e">
        <f>_xlfn.MODE.SNGL(Table2[[ Percent Gross Profit]])</f>
        <v>#N/A</v>
      </c>
      <c r="C74" s="11" t="e">
        <f>_xlfn.MODE.SNGL(Table2[Gross Sales])</f>
        <v>#N/A</v>
      </c>
      <c r="D74" s="11" t="e">
        <f>_xlfn.MODE.SNGL(Table2[Gross Profit])</f>
        <v>#N/A</v>
      </c>
      <c r="E74" s="12"/>
      <c r="F74" s="13">
        <f>_xlfn.MODE.SNGL(Table2[Competitive Rating*])</f>
        <v>3</v>
      </c>
      <c r="G74" s="23" t="e">
        <f>_xlfn.MODE.SNGL(Table2[% of Product Profit])</f>
        <v>#N/A</v>
      </c>
      <c r="H74" s="23" t="e">
        <f>_xlfn.MODE.SNGL(Table2[% of Total Profit])</f>
        <v>#N/A</v>
      </c>
      <c r="I74" s="2" t="s">
        <v>13</v>
      </c>
    </row>
    <row r="75" spans="1:15" ht="15">
      <c r="A75" s="7"/>
      <c r="B75" s="10">
        <f>_xlfn.STDEV.P(Table2[ [ Percent Gross Profit] ])</f>
        <v>0.15481844205391032</v>
      </c>
      <c r="C75" s="11">
        <f>_xlfn.STDEV.P(Table2[Gross Sales])</f>
        <v>44878.912670651902</v>
      </c>
      <c r="D75" s="11">
        <f>_xlfn.STDEV.P(Table2[Gross Profit])</f>
        <v>6701.0099619437015</v>
      </c>
      <c r="E75" s="12"/>
      <c r="F75" s="13">
        <f>_xlfn.STDEV.P(Table2[Competitive Rating*])</f>
        <v>0.70710678118654757</v>
      </c>
      <c r="G75" s="23">
        <f>_xlfn.STDEV.P(Table2[% of Product Profit])</f>
        <v>0.28616701871052513</v>
      </c>
      <c r="H75" s="23">
        <f>_xlfn.STDEV.P(Table2[% of Total Profit])</f>
        <v>2.6345638903670397E-2</v>
      </c>
      <c r="I75" s="2" t="s">
        <v>14</v>
      </c>
    </row>
    <row r="76" spans="1:15" ht="15">
      <c r="A76" s="8"/>
      <c r="B76" s="10"/>
      <c r="C76" s="11">
        <f>SUM(Table2[Gross Sales])</f>
        <v>157492</v>
      </c>
      <c r="D76" s="11">
        <f>SUM(Table2[Gross Profit])</f>
        <v>23416.43</v>
      </c>
      <c r="E76" s="13"/>
      <c r="F76" s="13"/>
      <c r="G76" s="23"/>
      <c r="H76" s="23"/>
      <c r="I76" s="2" t="s">
        <v>15</v>
      </c>
    </row>
    <row r="77" spans="1:15" ht="25.5" customHeight="1">
      <c r="A77" s="7" t="s">
        <v>0</v>
      </c>
      <c r="B77" s="5" t="s">
        <v>1</v>
      </c>
      <c r="C77" s="3" t="s">
        <v>2</v>
      </c>
      <c r="D77" s="3" t="s">
        <v>3</v>
      </c>
      <c r="E77" s="7" t="s">
        <v>4</v>
      </c>
      <c r="F77" s="7" t="s">
        <v>5</v>
      </c>
      <c r="G77" s="29" t="s">
        <v>6</v>
      </c>
      <c r="H77" s="29" t="s">
        <v>7</v>
      </c>
      <c r="J77" t="s">
        <v>16</v>
      </c>
      <c r="K77" t="s">
        <v>17</v>
      </c>
    </row>
    <row r="78" spans="1:15">
      <c r="A78" s="7">
        <v>3</v>
      </c>
      <c r="B78" s="5">
        <v>0.2</v>
      </c>
      <c r="C78" s="3">
        <v>203</v>
      </c>
      <c r="D78" s="3">
        <v>40.6</v>
      </c>
      <c r="E78" s="7">
        <v>2</v>
      </c>
      <c r="F78" s="7">
        <v>2</v>
      </c>
      <c r="G78" s="29">
        <f>Table3[[#This Row],[Gross Profit]]/SUMIF(Table3[Product Code],Table3[[#This Row],[Product Code]],Table3[Gross Profit])</f>
        <v>2.5045541554316441E-3</v>
      </c>
      <c r="H78" s="29">
        <f>Table3[[#This Row],[Gross Profit]]/SUM(Table1[Gross Profit])</f>
        <v>1.5962264577484066E-4</v>
      </c>
      <c r="J78" s="7">
        <v>1</v>
      </c>
      <c r="K78" s="3">
        <f>SUMIF(Table3[Competitive Rating*],J78,Table3[Gross Profit])</f>
        <v>0</v>
      </c>
    </row>
    <row r="79" spans="1:15">
      <c r="A79" s="7">
        <v>7</v>
      </c>
      <c r="B79" s="5">
        <v>0.22</v>
      </c>
      <c r="C79" s="3">
        <v>635</v>
      </c>
      <c r="D79" s="3">
        <v>139.69999999999999</v>
      </c>
      <c r="E79" s="7">
        <v>2</v>
      </c>
      <c r="F79" s="7">
        <v>3</v>
      </c>
      <c r="G79" s="29">
        <f>Table3[[#This Row],[Gross Profit]]/SUMIF(Table3[Product Code],Table3[[#This Row],[Product Code]],Table3[Gross Profit])</f>
        <v>8.6178870816207061E-3</v>
      </c>
      <c r="H79" s="29">
        <f>Table3[[#This Row],[Gross Profit]]/SUM(Table1[Gross Profit])</f>
        <v>5.4924343878682853E-4</v>
      </c>
      <c r="J79" s="7">
        <v>2</v>
      </c>
      <c r="K79" s="3">
        <f>SUMIF(Table3[Competitive Rating*],J79,Table3[Gross Profit])</f>
        <v>40.6</v>
      </c>
    </row>
    <row r="80" spans="1:15">
      <c r="A80" s="7">
        <v>17</v>
      </c>
      <c r="B80" s="5">
        <v>0.1</v>
      </c>
      <c r="C80" s="3">
        <v>2780</v>
      </c>
      <c r="D80" s="3">
        <v>278</v>
      </c>
      <c r="E80" s="7">
        <v>2</v>
      </c>
      <c r="F80" s="7">
        <v>3</v>
      </c>
      <c r="G80" s="29">
        <f>Table3[[#This Row],[Gross Profit]]/SUMIF(Table3[Product Code],Table3[[#This Row],[Product Code]],Table3[Gross Profit])</f>
        <v>1.7149410226847218E-2</v>
      </c>
      <c r="H80" s="29">
        <f>Table3[[#This Row],[Gross Profit]]/SUM(Table1[Gross Profit])</f>
        <v>1.0929826484090074E-3</v>
      </c>
      <c r="J80" s="7">
        <v>3</v>
      </c>
      <c r="K80" s="3">
        <f>SUMIF(Table3[Competitive Rating*],J80,Table3[Gross Profit])</f>
        <v>10849.46</v>
      </c>
    </row>
    <row r="81" spans="1:11">
      <c r="A81" s="7">
        <v>28</v>
      </c>
      <c r="B81" s="5">
        <v>0.22</v>
      </c>
      <c r="C81" s="3">
        <v>5552</v>
      </c>
      <c r="D81" s="3">
        <v>1221.44</v>
      </c>
      <c r="E81" s="7">
        <v>2</v>
      </c>
      <c r="F81" s="7">
        <v>3</v>
      </c>
      <c r="G81" s="29">
        <f>Table3[[#This Row],[Gross Profit]]/SUMIF(Table3[Product Code],Table3[[#This Row],[Product Code]],Table3[Gross Profit])</f>
        <v>7.5348833192375064E-2</v>
      </c>
      <c r="H81" s="29">
        <f>Table3[[#This Row],[Gross Profit]]/SUM(Table1[Gross Profit])</f>
        <v>4.8022040506212164E-3</v>
      </c>
      <c r="J81" s="7">
        <v>4</v>
      </c>
      <c r="K81" s="3">
        <f>SUMIF(Table3[Competitive Rating*],J81,Table3[Gross Profit])</f>
        <v>1817.3400000000001</v>
      </c>
    </row>
    <row r="82" spans="1:11">
      <c r="A82" s="7">
        <v>34</v>
      </c>
      <c r="B82" s="5">
        <v>0.14000000000000001</v>
      </c>
      <c r="C82" s="3">
        <v>12981</v>
      </c>
      <c r="D82" s="3">
        <v>1817.3400000000001</v>
      </c>
      <c r="E82" s="7">
        <v>2</v>
      </c>
      <c r="F82" s="7">
        <v>4</v>
      </c>
      <c r="G82" s="29">
        <f>Table3[[#This Row],[Gross Profit]]/SUMIF(Table3[Product Code],Table3[[#This Row],[Product Code]],Table3[Gross Profit])</f>
        <v>0.11210902583330404</v>
      </c>
      <c r="H82" s="29">
        <f>Table3[[#This Row],[Gross Profit]]/SUM(Table1[Gross Profit])</f>
        <v>7.1450398786317478E-3</v>
      </c>
      <c r="J82" s="7">
        <v>5</v>
      </c>
      <c r="K82" s="3">
        <f>SUMIF(Table3[Competitive Rating*],J82,Table3[Gross Profit])</f>
        <v>3503.0699999999997</v>
      </c>
    </row>
    <row r="83" spans="1:11">
      <c r="A83" s="7">
        <v>35</v>
      </c>
      <c r="B83" s="5">
        <v>0.22</v>
      </c>
      <c r="C83" s="3">
        <v>13406</v>
      </c>
      <c r="D83" s="3">
        <v>2949.32</v>
      </c>
      <c r="E83" s="7">
        <v>2</v>
      </c>
      <c r="F83" s="7">
        <v>3</v>
      </c>
      <c r="G83" s="29">
        <f>Table3[[#This Row],[Gross Profit]]/SUMIF(Table3[Product Code],Table3[[#This Row],[Product Code]],Table3[Gross Profit])</f>
        <v>0.18193920349009007</v>
      </c>
      <c r="H83" s="29">
        <f>Table3[[#This Row],[Gross Profit]]/SUM(Table1[Gross Profit])</f>
        <v>1.159552368563185E-2</v>
      </c>
    </row>
    <row r="84" spans="1:11">
      <c r="A84" s="7">
        <v>45</v>
      </c>
      <c r="B84" s="5">
        <v>0.2</v>
      </c>
      <c r="C84" s="3">
        <v>31305</v>
      </c>
      <c r="D84" s="3">
        <v>6261</v>
      </c>
      <c r="E84" s="7">
        <v>2</v>
      </c>
      <c r="F84" s="7">
        <v>3</v>
      </c>
      <c r="G84" s="29">
        <f>Table3[[#This Row],[Gross Profit]]/SUMIF(Table3[Product Code],Table3[[#This Row],[Product Code]],Table3[Gross Profit])</f>
        <v>0.3862318612600375</v>
      </c>
      <c r="H84" s="29">
        <f>Table3[[#This Row],[Gross Profit]]/SUM(Table1[Gross Profit])</f>
        <v>2.4615699142765454E-2</v>
      </c>
    </row>
    <row r="85" spans="1:11">
      <c r="A85" s="7">
        <v>49</v>
      </c>
      <c r="B85" s="5">
        <v>0.09</v>
      </c>
      <c r="C85" s="3">
        <v>38923</v>
      </c>
      <c r="D85" s="3">
        <v>3503.0699999999997</v>
      </c>
      <c r="E85" s="7">
        <v>2</v>
      </c>
      <c r="F85" s="7">
        <v>5</v>
      </c>
      <c r="G85" s="29">
        <f>Table3[[#This Row],[Gross Profit]]/SUMIF(Table3[Product Code],Table3[[#This Row],[Product Code]],Table3[Gross Profit])</f>
        <v>0.21609922476029381</v>
      </c>
      <c r="H85" s="29">
        <f>Table3[[#This Row],[Gross Profit]]/SUM(Table1[Gross Profit])</f>
        <v>1.3772642899863819E-2</v>
      </c>
    </row>
    <row r="86" spans="1:11" ht="15">
      <c r="A86" s="7"/>
      <c r="B86" s="10">
        <f>AVERAGE(Table3[ [ Percent Gross Profit] ])</f>
        <v>0.17375000000000002</v>
      </c>
      <c r="C86" s="11">
        <f>AVERAGE(Table3[Gross Sales])</f>
        <v>13223.125</v>
      </c>
      <c r="D86" s="11">
        <f>AVERAGE(Table3[Gross Profit])</f>
        <v>2026.3087499999999</v>
      </c>
      <c r="E86" s="12"/>
      <c r="F86" s="13">
        <f>AVERAGE(Table3[Competitive Rating*])</f>
        <v>3.25</v>
      </c>
      <c r="G86" s="23">
        <f>AVERAGE(Table3[% of Product Profit])</f>
        <v>0.125</v>
      </c>
      <c r="H86" s="23">
        <f>AVERAGE(Table3[% of Total Profit])</f>
        <v>7.9666197988105952E-3</v>
      </c>
      <c r="I86" s="2" t="s">
        <v>11</v>
      </c>
    </row>
    <row r="87" spans="1:11" ht="15">
      <c r="A87" s="7"/>
      <c r="B87" s="10">
        <f>MEDIAN(Table3[ [ Percent Gross Profit] ])</f>
        <v>0.2</v>
      </c>
      <c r="C87" s="11">
        <f>MEDIAN(Table3[Gross Sales])</f>
        <v>9266.5</v>
      </c>
      <c r="D87" s="11">
        <f>MEDIAN(Table3[Gross Profit])</f>
        <v>1519.39</v>
      </c>
      <c r="E87" s="12"/>
      <c r="F87" s="13">
        <f>MEDIAN(Table3[Competitive Rating*])</f>
        <v>3</v>
      </c>
      <c r="G87" s="23">
        <f>MEDIAN(Table3[% of Product Profit])</f>
        <v>9.3728929512839551E-2</v>
      </c>
      <c r="H87" s="23">
        <f>MEDIAN(Table3[% of Total Profit])</f>
        <v>5.9736219646264821E-3</v>
      </c>
      <c r="I87" s="2" t="s">
        <v>12</v>
      </c>
    </row>
    <row r="88" spans="1:11" ht="15">
      <c r="A88" s="7"/>
      <c r="B88" s="10">
        <f>_xlfn.MODE.SNGL(Table3[ [ Percent Gross Profit] ])</f>
        <v>0.22</v>
      </c>
      <c r="C88" s="11" t="e">
        <f>_xlfn.MODE.SNGL(Table3[Gross Sales])</f>
        <v>#N/A</v>
      </c>
      <c r="D88" s="11" t="e">
        <f>_xlfn.MODE.SNGL(Table3[Gross Profit])</f>
        <v>#N/A</v>
      </c>
      <c r="E88" s="12"/>
      <c r="F88" s="13">
        <f>_xlfn.MODE.SNGL(Table3[Competitive Rating*])</f>
        <v>3</v>
      </c>
      <c r="G88" s="23" t="e">
        <f>_xlfn.MODE.SNGL(Table3[% of Product Profit])</f>
        <v>#N/A</v>
      </c>
      <c r="H88" s="23" t="e">
        <f>_xlfn.MODE.SNGL(Table3[% of Total Profit])</f>
        <v>#N/A</v>
      </c>
      <c r="I88" s="2" t="s">
        <v>13</v>
      </c>
    </row>
    <row r="89" spans="1:11" ht="15">
      <c r="A89" s="7"/>
      <c r="B89" s="10">
        <f>_xlfn.STDEV.P(Table3[ [ Percent Gross Profit] ])</f>
        <v>5.170529469986606E-2</v>
      </c>
      <c r="C89" s="11">
        <f>_xlfn.STDEV.P(Table3[Gross Sales])</f>
        <v>13617.173949075301</v>
      </c>
      <c r="D89" s="11">
        <f>_xlfn.STDEV.P(Table3[Gross Profit])</f>
        <v>2006.7318108023148</v>
      </c>
      <c r="E89" s="12"/>
      <c r="F89" s="13">
        <f>_xlfn.STDEV.P(Table3[Competitive Rating*])</f>
        <v>0.82915619758884995</v>
      </c>
      <c r="G89" s="23">
        <f>_xlfn.STDEV.P(Table3[% of Product Profit])</f>
        <v>0.12379232747738438</v>
      </c>
      <c r="H89" s="23">
        <f>_xlfn.STDEV.P(Table3[% of Total Profit])</f>
        <v>7.8896512561774015E-3</v>
      </c>
      <c r="I89" s="2" t="s">
        <v>14</v>
      </c>
    </row>
    <row r="90" spans="1:11" ht="15">
      <c r="B90" s="14"/>
      <c r="C90" s="11">
        <f>SUM(Table3[Gross Sales])</f>
        <v>105785</v>
      </c>
      <c r="D90" s="11">
        <f>SUM(Table3[Gross Profit])</f>
        <v>16210.47</v>
      </c>
      <c r="E90" s="15"/>
      <c r="F90" s="15"/>
      <c r="G90" s="23"/>
      <c r="H90" s="23"/>
      <c r="I90" s="2" t="s">
        <v>15</v>
      </c>
    </row>
    <row r="91" spans="1:11" ht="25.5" customHeight="1">
      <c r="A91" s="7" t="s">
        <v>0</v>
      </c>
      <c r="B91" s="5" t="s">
        <v>1</v>
      </c>
      <c r="C91" s="3" t="s">
        <v>2</v>
      </c>
      <c r="D91" s="3" t="s">
        <v>3</v>
      </c>
      <c r="E91" s="7" t="s">
        <v>4</v>
      </c>
      <c r="F91" s="7" t="s">
        <v>5</v>
      </c>
      <c r="G91" s="29" t="s">
        <v>6</v>
      </c>
      <c r="H91" s="29" t="s">
        <v>7</v>
      </c>
      <c r="J91" t="s">
        <v>16</v>
      </c>
      <c r="K91" t="s">
        <v>17</v>
      </c>
    </row>
    <row r="92" spans="1:11">
      <c r="A92" s="7">
        <v>2</v>
      </c>
      <c r="B92" s="5">
        <v>0.32</v>
      </c>
      <c r="C92" s="3">
        <v>181</v>
      </c>
      <c r="D92" s="3">
        <v>57.92</v>
      </c>
      <c r="E92" s="7">
        <v>3</v>
      </c>
      <c r="F92" s="7">
        <v>4</v>
      </c>
      <c r="G92" s="29">
        <f>Table4[[#This Row],[Gross Profit]]/SUMIF(Table4[Product Code],Table4[[#This Row],[Product Code]],Table4[Gross Profit])</f>
        <v>4.4568416597733865E-3</v>
      </c>
      <c r="H92" s="29">
        <f>Table4[[#This Row],[Gross Profit]]/SUM(Table1[Gross Profit])</f>
        <v>2.277178237260781E-4</v>
      </c>
      <c r="J92" s="7">
        <v>1</v>
      </c>
      <c r="K92" s="3">
        <f>SUMIF(Table4[Competitive Rating*],J92,Table4[Gross Profit])</f>
        <v>0</v>
      </c>
    </row>
    <row r="93" spans="1:11">
      <c r="A93" s="7">
        <v>8</v>
      </c>
      <c r="B93" s="5">
        <v>0.34</v>
      </c>
      <c r="C93" s="3">
        <v>856</v>
      </c>
      <c r="D93" s="3">
        <v>291.04000000000002</v>
      </c>
      <c r="E93" s="7">
        <v>3</v>
      </c>
      <c r="F93" s="7">
        <v>3</v>
      </c>
      <c r="G93" s="29">
        <f>Table4[[#This Row],[Gross Profit]]/SUMIF(Table4[Product Code],Table4[[#This Row],[Product Code]],Table4[Gross Profit])</f>
        <v>2.2395013754496661E-2</v>
      </c>
      <c r="H93" s="29">
        <f>Table4[[#This Row],[Gross Profit]]/SUM(Table1[Gross Profit])</f>
        <v>1.1442506114854589E-3</v>
      </c>
      <c r="J93" s="7">
        <v>2</v>
      </c>
      <c r="K93" s="3">
        <f>SUMIF(Table4[Competitive Rating*],J93,Table4[Gross Profit])</f>
        <v>0</v>
      </c>
    </row>
    <row r="94" spans="1:11">
      <c r="A94" s="7">
        <v>23</v>
      </c>
      <c r="B94" s="5">
        <v>0.17</v>
      </c>
      <c r="C94" s="3">
        <v>4219</v>
      </c>
      <c r="D94" s="3">
        <v>717.23</v>
      </c>
      <c r="E94" s="7">
        <v>3</v>
      </c>
      <c r="F94" s="7">
        <v>4</v>
      </c>
      <c r="G94" s="29">
        <f>Table4[[#This Row],[Gross Profit]]/SUMIF(Table4[Product Code],Table4[[#This Row],[Product Code]],Table4[Gross Profit])</f>
        <v>5.518958120924148E-2</v>
      </c>
      <c r="H94" s="29">
        <f>Table4[[#This Row],[Gross Profit]]/SUM(Table1[Gross Profit])</f>
        <v>2.8198559169726346E-3</v>
      </c>
      <c r="J94" s="7">
        <v>3</v>
      </c>
      <c r="K94" s="3">
        <f>SUMIF(Table4[Competitive Rating*],J94,Table4[Gross Profit])</f>
        <v>6720.420000000001</v>
      </c>
    </row>
    <row r="95" spans="1:11">
      <c r="A95" s="7">
        <v>32</v>
      </c>
      <c r="B95" s="5">
        <v>0.23</v>
      </c>
      <c r="C95" s="3">
        <v>8058</v>
      </c>
      <c r="D95" s="3">
        <v>1853.3400000000001</v>
      </c>
      <c r="E95" s="7">
        <v>3</v>
      </c>
      <c r="F95" s="7">
        <v>3</v>
      </c>
      <c r="G95" s="29">
        <f>Table4[[#This Row],[Gross Profit]]/SUMIF(Table4[Product Code],Table4[[#This Row],[Product Code]],Table4[Gross Profit])</f>
        <v>0.14261123828944078</v>
      </c>
      <c r="H95" s="29">
        <f>Table4[[#This Row],[Gross Profit]]/SUM(Table1[Gross Profit])</f>
        <v>7.2865772000084532E-3</v>
      </c>
      <c r="J95" s="7">
        <v>4</v>
      </c>
      <c r="K95" s="3">
        <f>SUMIF(Table4[Competitive Rating*],J95,Table4[Gross Profit])</f>
        <v>775.15</v>
      </c>
    </row>
    <row r="96" spans="1:11">
      <c r="A96" s="7">
        <v>37</v>
      </c>
      <c r="B96" s="5">
        <v>0.28000000000000003</v>
      </c>
      <c r="C96" s="3">
        <v>16343</v>
      </c>
      <c r="D96" s="3">
        <v>4576.0400000000009</v>
      </c>
      <c r="E96" s="7">
        <v>3</v>
      </c>
      <c r="F96" s="7">
        <v>3</v>
      </c>
      <c r="G96" s="29">
        <f>Table4[[#This Row],[Gross Profit]]/SUMIF(Table4[Product Code],Table4[[#This Row],[Product Code]],Table4[Gross Profit])</f>
        <v>0.35211819248600507</v>
      </c>
      <c r="H96" s="29">
        <f>Table4[[#This Row],[Gross Profit]]/SUM(Table1[Gross Profit])</f>
        <v>1.7991123447573941E-2</v>
      </c>
      <c r="J96" s="7">
        <v>5</v>
      </c>
      <c r="K96" s="3">
        <f>SUMIF(Table4[Competitive Rating*],J96,Table4[Gross Profit])</f>
        <v>5500.18</v>
      </c>
    </row>
    <row r="97" spans="1:11">
      <c r="A97" s="7">
        <v>55</v>
      </c>
      <c r="B97" s="5">
        <v>7.0000000000000007E-2</v>
      </c>
      <c r="C97" s="3">
        <v>78574</v>
      </c>
      <c r="D97" s="3">
        <v>5500.18</v>
      </c>
      <c r="E97" s="7">
        <v>3</v>
      </c>
      <c r="F97" s="7">
        <v>5</v>
      </c>
      <c r="G97" s="29">
        <f>Table4[[#This Row],[Gross Profit]]/SUMIF(Table4[Product Code],Table4[[#This Row],[Product Code]],Table4[Gross Profit])</f>
        <v>0.42322913260104261</v>
      </c>
      <c r="H97" s="29">
        <f>Table4[[#This Row],[Gross Profit]]/SUM(Table1[Gross Profit])</f>
        <v>2.1624465119159192E-2</v>
      </c>
    </row>
    <row r="98" spans="1:11" ht="15">
      <c r="A98" s="7"/>
      <c r="B98" s="10">
        <f>AVERAGE(Table4[ [ Percent Gross Profit] ])</f>
        <v>0.23500000000000001</v>
      </c>
      <c r="C98" s="11">
        <f>AVERAGE(Table4[Gross Sales])</f>
        <v>18038.5</v>
      </c>
      <c r="D98" s="11">
        <f>AVERAGE(Table4[Gross Profit])</f>
        <v>2165.9583333333335</v>
      </c>
      <c r="E98" s="12"/>
      <c r="F98" s="13">
        <f>AVERAGE(Table4[Competitive Rating*])</f>
        <v>3.6666666666666665</v>
      </c>
      <c r="G98" s="23">
        <f>AVERAGE(Table4[% of Product Profit])</f>
        <v>0.16666666666666666</v>
      </c>
      <c r="H98" s="23">
        <f>AVERAGE(Table4[% of Total Profit])</f>
        <v>8.5156650198209595E-3</v>
      </c>
      <c r="I98" s="2" t="s">
        <v>11</v>
      </c>
    </row>
    <row r="99" spans="1:11" ht="15">
      <c r="A99" s="7"/>
      <c r="B99" s="10">
        <f>MEDIAN(Table4[ [ Percent Gross Profit] ])</f>
        <v>0.255</v>
      </c>
      <c r="C99" s="11">
        <f>MEDIAN(Table4[Gross Sales])</f>
        <v>6138.5</v>
      </c>
      <c r="D99" s="11">
        <f>MEDIAN(Table4[Gross Profit])</f>
        <v>1285.2850000000001</v>
      </c>
      <c r="E99" s="12"/>
      <c r="F99" s="13">
        <f>MEDIAN(Table4[Competitive Rating*])</f>
        <v>3.5</v>
      </c>
      <c r="G99" s="23">
        <f>MEDIAN(Table4[% of Product Profit])</f>
        <v>9.8900409749341139E-2</v>
      </c>
      <c r="H99" s="23">
        <f>MEDIAN(Table4[% of Total Profit])</f>
        <v>5.0532165584905439E-3</v>
      </c>
      <c r="I99" s="2" t="s">
        <v>12</v>
      </c>
    </row>
    <row r="100" spans="1:11" ht="15">
      <c r="A100" s="7"/>
      <c r="B100" s="10" t="e">
        <f>_xlfn.MODE.SNGL(Table4[ [ Percent Gross Profit] ])</f>
        <v>#N/A</v>
      </c>
      <c r="C100" s="11" t="e">
        <f>_xlfn.MODE.SNGL(Table4[Gross Sales])</f>
        <v>#N/A</v>
      </c>
      <c r="D100" s="11" t="e">
        <f>_xlfn.MODE.SNGL(Table4[Gross Profit])</f>
        <v>#N/A</v>
      </c>
      <c r="E100" s="12"/>
      <c r="F100" s="13">
        <f>_xlfn.MODE.SNGL(Table4[Competitive Rating*])</f>
        <v>3</v>
      </c>
      <c r="G100" s="23" t="e">
        <f>_xlfn.MODE.SNGL(Table4[% of Product Profit])</f>
        <v>#N/A</v>
      </c>
      <c r="H100" s="23" t="e">
        <f>_xlfn.MODE.SNGL(Table4[% of Total Profit])</f>
        <v>#N/A</v>
      </c>
      <c r="I100" s="2" t="s">
        <v>13</v>
      </c>
    </row>
    <row r="101" spans="1:11" ht="15">
      <c r="A101" s="7"/>
      <c r="B101" s="10">
        <f>_xlfn.STDEV.P(Table4[ [ Percent Gross Profit] ])</f>
        <v>9.2870878105033555E-2</v>
      </c>
      <c r="C101" s="11">
        <f>_xlfn.STDEV.P(Table4[Gross Sales])</f>
        <v>27604.767261893976</v>
      </c>
      <c r="D101" s="11">
        <f>_xlfn.STDEV.P(Table4[Gross Profit])</f>
        <v>2124.5084192224854</v>
      </c>
      <c r="E101" s="12"/>
      <c r="F101" s="13">
        <f>_xlfn.STDEV.P(Table4[Competitive Rating*])</f>
        <v>0.7453559924999299</v>
      </c>
      <c r="G101" s="23">
        <f>_xlfn.STDEV.P(Table4[% of Product Profit])</f>
        <v>0.16347716901467674</v>
      </c>
      <c r="H101" s="23">
        <f>_xlfn.STDEV.P(Table4[% of Total Profit])</f>
        <v>8.3527008583058494E-3</v>
      </c>
      <c r="I101" s="2" t="s">
        <v>14</v>
      </c>
    </row>
    <row r="102" spans="1:11" ht="15">
      <c r="B102" s="14"/>
      <c r="C102" s="11">
        <f>SUM(Table4[Gross Sales])</f>
        <v>108231</v>
      </c>
      <c r="D102" s="11">
        <f>SUM(Table4[Gross Profit])</f>
        <v>12995.750000000002</v>
      </c>
      <c r="E102" s="15"/>
      <c r="F102" s="15"/>
      <c r="G102" s="23"/>
      <c r="H102" s="23"/>
      <c r="I102" s="2" t="s">
        <v>15</v>
      </c>
    </row>
    <row r="103" spans="1:11" ht="25.5" customHeight="1">
      <c r="A103" s="7" t="s">
        <v>0</v>
      </c>
      <c r="B103" s="5" t="s">
        <v>1</v>
      </c>
      <c r="C103" s="3" t="s">
        <v>2</v>
      </c>
      <c r="D103" s="3" t="s">
        <v>3</v>
      </c>
      <c r="E103" s="7" t="s">
        <v>4</v>
      </c>
      <c r="F103" s="7" t="s">
        <v>5</v>
      </c>
      <c r="G103" s="29" t="s">
        <v>6</v>
      </c>
      <c r="H103" s="29" t="s">
        <v>7</v>
      </c>
      <c r="J103" t="s">
        <v>16</v>
      </c>
      <c r="K103" t="s">
        <v>17</v>
      </c>
    </row>
    <row r="104" spans="1:11">
      <c r="A104" s="7">
        <v>9</v>
      </c>
      <c r="B104" s="5">
        <v>0.26</v>
      </c>
      <c r="C104" s="3">
        <v>1062</v>
      </c>
      <c r="D104" s="3">
        <v>276.12</v>
      </c>
      <c r="E104" s="7">
        <v>4</v>
      </c>
      <c r="F104" s="7">
        <v>2</v>
      </c>
      <c r="G104" s="29">
        <f>Table5[[#This Row],[Gross Profit]]/SUMIF(Table5[Product Code],Table5[[#This Row],[Product Code]],Table5[Gross Profit])</f>
        <v>5.0488898640957776E-3</v>
      </c>
      <c r="H104" s="29">
        <f>Table5[[#This Row],[Gross Profit]]/SUM(Table1[Gross Profit])</f>
        <v>1.085591254959335E-3</v>
      </c>
      <c r="J104" s="7">
        <v>1</v>
      </c>
      <c r="K104" s="3">
        <f>SUMIF(Table5[Competitive Rating*],J104,Table5[Gross Profit])</f>
        <v>0</v>
      </c>
    </row>
    <row r="105" spans="1:11">
      <c r="A105" s="7">
        <v>12</v>
      </c>
      <c r="B105" s="5">
        <v>0.36</v>
      </c>
      <c r="C105" s="3">
        <v>1392</v>
      </c>
      <c r="D105" s="3">
        <v>501.12</v>
      </c>
      <c r="E105" s="7">
        <v>4</v>
      </c>
      <c r="F105" s="7">
        <v>2</v>
      </c>
      <c r="G105" s="29">
        <f>Table5[[#This Row],[Gross Profit]]/SUMIF(Table5[Product Code],Table5[[#This Row],[Product Code]],Table5[Gross Profit])</f>
        <v>9.1630439254515288E-3</v>
      </c>
      <c r="H105" s="29">
        <f>Table5[[#This Row],[Gross Profit]]/SUM(Table1[Gross Profit])</f>
        <v>1.9701995135637477E-3</v>
      </c>
      <c r="J105" s="7">
        <v>2</v>
      </c>
      <c r="K105" s="3">
        <f>SUMIF(Table5[Competitive Rating*],J105,Table5[Gross Profit])</f>
        <v>1090.98</v>
      </c>
    </row>
    <row r="106" spans="1:11">
      <c r="A106" s="7">
        <v>13</v>
      </c>
      <c r="B106" s="5">
        <v>0.18</v>
      </c>
      <c r="C106" s="3">
        <v>1743</v>
      </c>
      <c r="D106" s="3">
        <v>313.74</v>
      </c>
      <c r="E106" s="7">
        <v>4</v>
      </c>
      <c r="F106" s="7">
        <v>2</v>
      </c>
      <c r="G106" s="29">
        <f>Table5[[#This Row],[Gross Profit]]/SUMIF(Table5[Product Code],Table5[[#This Row],[Product Code]],Table5[Gross Profit])</f>
        <v>5.7367764231544592E-3</v>
      </c>
      <c r="H106" s="29">
        <f>Table5[[#This Row],[Gross Profit]]/SUM(Table1[Gross Profit])</f>
        <v>1.2334977557979928E-3</v>
      </c>
      <c r="J106" s="7">
        <v>3</v>
      </c>
      <c r="K106" s="3">
        <f>SUMIF(Table5[Competitive Rating*],J106,Table5[Gross Profit])</f>
        <v>28292.38</v>
      </c>
    </row>
    <row r="107" spans="1:11">
      <c r="A107" s="7">
        <v>15</v>
      </c>
      <c r="B107" s="5">
        <v>0.05</v>
      </c>
      <c r="C107" s="3">
        <v>2534</v>
      </c>
      <c r="D107" s="3">
        <v>126.7</v>
      </c>
      <c r="E107" s="7">
        <v>4</v>
      </c>
      <c r="F107" s="7">
        <v>5</v>
      </c>
      <c r="G107" s="29">
        <f>Table5[[#This Row],[Gross Profit]]/SUMIF(Table5[Product Code],Table5[[#This Row],[Product Code]],Table5[Gross Profit])</f>
        <v>2.3167258647723275E-3</v>
      </c>
      <c r="H107" s="29">
        <f>Table5[[#This Row],[Gross Profit]]/SUM(Table1[Gross Profit])</f>
        <v>4.9813273940079589E-4</v>
      </c>
      <c r="J107" s="7">
        <v>4</v>
      </c>
      <c r="K107" s="3">
        <f>SUMIF(Table5[Competitive Rating*],J107,Table5[Gross Profit])</f>
        <v>3184.5</v>
      </c>
    </row>
    <row r="108" spans="1:11">
      <c r="A108" s="7">
        <v>42</v>
      </c>
      <c r="B108" s="5">
        <v>0.11</v>
      </c>
      <c r="C108" s="3">
        <v>28950</v>
      </c>
      <c r="D108" s="3">
        <v>3184.5</v>
      </c>
      <c r="E108" s="7">
        <v>4</v>
      </c>
      <c r="F108" s="7">
        <v>4</v>
      </c>
      <c r="G108" s="29">
        <f>Table5[[#This Row],[Gross Profit]]/SUMIF(Table5[Product Code],Table5[[#This Row],[Product Code]],Table5[Gross Profit])</f>
        <v>5.8228993815055058E-2</v>
      </c>
      <c r="H108" s="29">
        <f>Table5[[#This Row],[Gross Profit]]/SUM(Table1[Gross Profit])</f>
        <v>1.2520155553447786E-2</v>
      </c>
      <c r="J108" s="7">
        <v>5</v>
      </c>
      <c r="K108" s="3">
        <f>SUMIF(Table5[Competitive Rating*],J108,Table5[Gross Profit])</f>
        <v>22121.39</v>
      </c>
    </row>
    <row r="109" spans="1:11">
      <c r="A109" s="7">
        <v>43</v>
      </c>
      <c r="B109" s="5">
        <v>0.18</v>
      </c>
      <c r="C109" s="3">
        <v>29646</v>
      </c>
      <c r="D109" s="3">
        <v>5336.28</v>
      </c>
      <c r="E109" s="7">
        <v>4</v>
      </c>
      <c r="F109" s="7">
        <v>3</v>
      </c>
      <c r="G109" s="29">
        <f>Table5[[#This Row],[Gross Profit]]/SUMIF(Table5[Product Code],Table5[[#This Row],[Product Code]],Table5[Gross Profit])</f>
        <v>9.7574569042362072E-2</v>
      </c>
      <c r="H109" s="29">
        <f>Table5[[#This Row],[Gross Profit]]/SUM(Table1[Gross Profit])</f>
        <v>2.098007714766913E-2</v>
      </c>
    </row>
    <row r="110" spans="1:11">
      <c r="A110" s="7">
        <v>47</v>
      </c>
      <c r="B110" s="5">
        <v>0.1</v>
      </c>
      <c r="C110" s="3">
        <v>34817</v>
      </c>
      <c r="D110" s="3">
        <v>3481.7000000000003</v>
      </c>
      <c r="E110" s="7">
        <v>4</v>
      </c>
      <c r="F110" s="7">
        <v>3</v>
      </c>
      <c r="G110" s="29">
        <f>Table5[[#This Row],[Gross Profit]]/SUMIF(Table5[Product Code],Table5[[#This Row],[Product Code]],Table5[Gross Profit])</f>
        <v>6.3663334201876975E-2</v>
      </c>
      <c r="H110" s="29">
        <f>Table5[[#This Row],[Gross Profit]]/SUM(Table1[Gross Profit])</f>
        <v>1.3688624773257704E-2</v>
      </c>
    </row>
    <row r="111" spans="1:11">
      <c r="A111" s="7">
        <v>50</v>
      </c>
      <c r="B111" s="5">
        <v>0.16</v>
      </c>
      <c r="C111" s="3">
        <v>40536</v>
      </c>
      <c r="D111" s="3">
        <v>6485.76</v>
      </c>
      <c r="E111" s="7">
        <v>4</v>
      </c>
      <c r="F111" s="7">
        <v>3</v>
      </c>
      <c r="G111" s="29">
        <f>Table5[[#This Row],[Gross Profit]]/SUMIF(Table5[Product Code],Table5[[#This Row],[Product Code]],Table5[Gross Profit])</f>
        <v>0.11859295931101634</v>
      </c>
      <c r="H111" s="29">
        <f>Table5[[#This Row],[Gross Profit]]/SUM(Table1[Gross Profit])</f>
        <v>2.5499363819227353E-2</v>
      </c>
    </row>
    <row r="112" spans="1:11">
      <c r="A112" s="7">
        <v>54</v>
      </c>
      <c r="B112" s="5">
        <v>0.11</v>
      </c>
      <c r="C112" s="3">
        <v>62862</v>
      </c>
      <c r="D112" s="3">
        <v>6914.82</v>
      </c>
      <c r="E112" s="7">
        <v>4</v>
      </c>
      <c r="F112" s="7">
        <v>5</v>
      </c>
      <c r="G112" s="29">
        <f>Table5[[#This Row],[Gross Profit]]/SUMIF(Table5[Product Code],Table5[[#This Row],[Product Code]],Table5[Gross Profit])</f>
        <v>0.12643837682908432</v>
      </c>
      <c r="H112" s="29">
        <f>Table5[[#This Row],[Gross Profit]]/SUM(Table1[Gross Profit])</f>
        <v>2.7186252794502059E-2</v>
      </c>
    </row>
    <row r="113" spans="1:11">
      <c r="A113" s="7">
        <v>56</v>
      </c>
      <c r="B113" s="5">
        <v>0.14000000000000001</v>
      </c>
      <c r="C113" s="3">
        <v>92776</v>
      </c>
      <c r="D113" s="3">
        <v>12988.640000000001</v>
      </c>
      <c r="E113" s="7">
        <v>4</v>
      </c>
      <c r="F113" s="7">
        <v>3</v>
      </c>
      <c r="G113" s="29">
        <f>Table5[[#This Row],[Gross Profit]]/SUMIF(Table5[Product Code],Table5[[#This Row],[Product Code]],Table5[Gross Profit])</f>
        <v>0.23749896003327894</v>
      </c>
      <c r="H113" s="29">
        <f>Table5[[#This Row],[Gross Profit]]/SUM(Table1[Gross Profit])</f>
        <v>5.1066036497953854E-2</v>
      </c>
    </row>
    <row r="114" spans="1:11">
      <c r="A114" s="7">
        <v>58</v>
      </c>
      <c r="B114" s="5">
        <v>0.13</v>
      </c>
      <c r="C114" s="3">
        <v>115999</v>
      </c>
      <c r="D114" s="3">
        <v>15079.87</v>
      </c>
      <c r="E114" s="7">
        <v>4</v>
      </c>
      <c r="F114" s="7">
        <v>5</v>
      </c>
      <c r="G114" s="29">
        <f>Table5[[#This Row],[Gross Profit]]/SUMIF(Table5[Product Code],Table5[[#This Row],[Product Code]],Table5[Gross Profit])</f>
        <v>0.27573737068985221</v>
      </c>
      <c r="H114" s="29">
        <f>Table5[[#This Row],[Gross Profit]]/SUM(Table1[Gross Profit])</f>
        <v>5.9287900180804105E-2</v>
      </c>
    </row>
    <row r="115" spans="1:11" ht="15">
      <c r="A115" s="7"/>
      <c r="B115" s="10">
        <f>AVERAGE(Table5[ [ Percent Gross Profit] ])</f>
        <v>0.16181818181818183</v>
      </c>
      <c r="C115" s="11">
        <f>AVERAGE(Table5[Gross Sales])</f>
        <v>37483.36363636364</v>
      </c>
      <c r="D115" s="11">
        <f>AVERAGE(Table5[Gross Profit])</f>
        <v>4971.75</v>
      </c>
      <c r="E115" s="12"/>
      <c r="F115" s="13">
        <f>AVERAGE(Table5[Competitive Rating*])</f>
        <v>3.3636363636363638</v>
      </c>
      <c r="G115" s="23">
        <f>AVERAGE(Table5[% of Product Profit])</f>
        <v>9.0909090909090912E-2</v>
      </c>
      <c r="H115" s="23">
        <f>AVERAGE(Table5[% of Total Profit])</f>
        <v>1.9546893820962166E-2</v>
      </c>
      <c r="I115" s="2" t="s">
        <v>11</v>
      </c>
    </row>
    <row r="116" spans="1:11" ht="15">
      <c r="A116" s="7"/>
      <c r="B116" s="10">
        <f>MEDIAN(Table5[ [ Percent Gross Profit] ])</f>
        <v>0.14000000000000001</v>
      </c>
      <c r="C116" s="11">
        <f>MEDIAN(Table5[Gross Sales])</f>
        <v>29646</v>
      </c>
      <c r="D116" s="11">
        <f>MEDIAN(Table5[Gross Profit])</f>
        <v>3481.7000000000003</v>
      </c>
      <c r="E116" s="12"/>
      <c r="F116" s="13">
        <f>MEDIAN(Table5[Competitive Rating*])</f>
        <v>3</v>
      </c>
      <c r="G116" s="23">
        <f>MEDIAN(Table5[% of Product Profit])</f>
        <v>6.3663334201876975E-2</v>
      </c>
      <c r="H116" s="23">
        <f>MEDIAN(Table5[% of Total Profit])</f>
        <v>1.3688624773257704E-2</v>
      </c>
      <c r="I116" s="2" t="s">
        <v>12</v>
      </c>
    </row>
    <row r="117" spans="1:11" ht="15">
      <c r="A117" s="7"/>
      <c r="B117" s="10">
        <f>_xlfn.MODE.SNGL(Table5[ [ Percent Gross Profit] ])</f>
        <v>0.18</v>
      </c>
      <c r="C117" s="11" t="e">
        <f>_xlfn.MODE.SNGL(Table5[Gross Sales])</f>
        <v>#N/A</v>
      </c>
      <c r="D117" s="11" t="e">
        <f>_xlfn.MODE.SNGL(Table5[Gross Profit])</f>
        <v>#N/A</v>
      </c>
      <c r="E117" s="12"/>
      <c r="F117" s="13">
        <f>_xlfn.MODE.SNGL(Table5[Competitive Rating*])</f>
        <v>3</v>
      </c>
      <c r="G117" s="23" t="e">
        <f>_xlfn.MODE.SNGL(Table5[% of Product Profit])</f>
        <v>#N/A</v>
      </c>
      <c r="H117" s="23" t="e">
        <f>_xlfn.MODE.SNGL(Table5[% of Total Profit])</f>
        <v>#N/A</v>
      </c>
      <c r="I117" s="2" t="s">
        <v>13</v>
      </c>
    </row>
    <row r="118" spans="1:11" ht="15">
      <c r="A118" s="7"/>
      <c r="B118" s="10">
        <f>_xlfn.STDEV.P(Table5[ [ Percent Gross Profit] ])</f>
        <v>8.1331888168527364E-2</v>
      </c>
      <c r="C118" s="11">
        <f>_xlfn.STDEV.P(Table5[Gross Sales])</f>
        <v>37105.084790663313</v>
      </c>
      <c r="D118" s="11">
        <f>_xlfn.STDEV.P(Table5[Gross Profit])</f>
        <v>4910.7192266584252</v>
      </c>
      <c r="E118" s="12"/>
      <c r="F118" s="13">
        <f>_xlfn.STDEV.P(Table5[Competitive Rating*])</f>
        <v>1.1499191491521379</v>
      </c>
      <c r="G118" s="23">
        <f>_xlfn.STDEV.P(Table5[% of Product Profit])</f>
        <v>8.9793135335709026E-2</v>
      </c>
      <c r="H118" s="23">
        <f>_xlfn.STDEV.P(Table5[% of Total Profit])</f>
        <v>1.9306945704842302E-2</v>
      </c>
      <c r="I118" s="2" t="s">
        <v>14</v>
      </c>
    </row>
    <row r="119" spans="1:11" ht="15">
      <c r="B119" s="14"/>
      <c r="C119" s="11">
        <f>SUM(Table5[Gross Sales])</f>
        <v>412317</v>
      </c>
      <c r="D119" s="11">
        <f>SUM(Table5[Gross Profit])</f>
        <v>54689.25</v>
      </c>
      <c r="E119" s="15"/>
      <c r="F119" s="15"/>
      <c r="G119" s="23"/>
      <c r="H119" s="23"/>
      <c r="I119" s="2" t="s">
        <v>15</v>
      </c>
    </row>
    <row r="120" spans="1:11" ht="25.5" customHeight="1">
      <c r="A120" s="7" t="s">
        <v>0</v>
      </c>
      <c r="B120" s="5" t="s">
        <v>1</v>
      </c>
      <c r="C120" s="3" t="s">
        <v>2</v>
      </c>
      <c r="D120" s="3" t="s">
        <v>3</v>
      </c>
      <c r="E120" s="7" t="s">
        <v>4</v>
      </c>
      <c r="F120" s="7" t="s">
        <v>5</v>
      </c>
      <c r="G120" s="29" t="s">
        <v>6</v>
      </c>
      <c r="H120" s="29" t="s">
        <v>7</v>
      </c>
      <c r="J120" t="s">
        <v>16</v>
      </c>
      <c r="K120" t="s">
        <v>17</v>
      </c>
    </row>
    <row r="121" spans="1:11">
      <c r="A121" s="7">
        <v>4</v>
      </c>
      <c r="B121" s="5">
        <v>0.22</v>
      </c>
      <c r="C121" s="3">
        <v>249</v>
      </c>
      <c r="D121" s="3">
        <v>54.78</v>
      </c>
      <c r="E121" s="7">
        <v>5</v>
      </c>
      <c r="F121" s="7">
        <v>1</v>
      </c>
      <c r="G121" s="29">
        <f>Table6[[#This Row],[Gross Profit]]/SUMIF(Table6[Product Code],Table6[[#This Row],[Product Code]],Table6[Gross Profit])</f>
        <v>8.4540820499682851E-4</v>
      </c>
      <c r="H121" s="29">
        <f>Table6[[#This Row],[Gross Profit]]/SUM(Table1[Gross Profit])</f>
        <v>2.1537262402822097E-4</v>
      </c>
      <c r="J121" s="7">
        <v>1</v>
      </c>
      <c r="K121" s="3">
        <f>SUMIF(Table6[Competitive Rating*],J121,Table6[Gross Profit])</f>
        <v>154.74</v>
      </c>
    </row>
    <row r="122" spans="1:11">
      <c r="A122" s="7">
        <v>5</v>
      </c>
      <c r="B122" s="5">
        <v>0.21</v>
      </c>
      <c r="C122" s="3">
        <v>476</v>
      </c>
      <c r="D122" s="3">
        <v>99.96</v>
      </c>
      <c r="E122" s="7">
        <v>5</v>
      </c>
      <c r="F122" s="7">
        <v>1</v>
      </c>
      <c r="G122" s="29">
        <f>Table6[[#This Row],[Gross Profit]]/SUMIF(Table6[Product Code],Table6[[#This Row],[Product Code]],Table6[Gross Profit])</f>
        <v>1.5426616314619015E-3</v>
      </c>
      <c r="H122" s="29">
        <f>Table6[[#This Row],[Gross Profit]]/SUM(Table1[Gross Profit])</f>
        <v>3.9300196235598697E-4</v>
      </c>
      <c r="J122" s="7">
        <v>2</v>
      </c>
      <c r="K122" s="3">
        <f>SUMIF(Table6[Competitive Rating*],J122,Table6[Gross Profit])</f>
        <v>12243.36</v>
      </c>
    </row>
    <row r="123" spans="1:11">
      <c r="A123" s="7">
        <v>6</v>
      </c>
      <c r="B123" s="5">
        <v>0.21</v>
      </c>
      <c r="C123" s="3">
        <v>476</v>
      </c>
      <c r="D123" s="3">
        <v>99.96</v>
      </c>
      <c r="E123" s="7">
        <v>5</v>
      </c>
      <c r="F123" s="7">
        <v>4</v>
      </c>
      <c r="G123" s="29">
        <f>Table6[[#This Row],[Gross Profit]]/SUMIF(Table6[Product Code],Table6[[#This Row],[Product Code]],Table6[Gross Profit])</f>
        <v>1.5426616314619015E-3</v>
      </c>
      <c r="H123" s="29">
        <f>Table6[[#This Row],[Gross Profit]]/SUM(Table1[Gross Profit])</f>
        <v>3.9300196235598697E-4</v>
      </c>
      <c r="J123" s="7">
        <v>3</v>
      </c>
      <c r="K123" s="3">
        <f>SUMIF(Table6[Competitive Rating*],J123,Table6[Gross Profit])</f>
        <v>15986.27</v>
      </c>
    </row>
    <row r="124" spans="1:11">
      <c r="A124" s="7">
        <v>18</v>
      </c>
      <c r="B124" s="5">
        <v>0.37</v>
      </c>
      <c r="C124" s="3">
        <v>3272</v>
      </c>
      <c r="D124" s="3">
        <v>1210.6399999999999</v>
      </c>
      <c r="E124" s="7">
        <v>5</v>
      </c>
      <c r="F124" s="7">
        <v>3</v>
      </c>
      <c r="G124" s="29">
        <f>Table6[[#This Row],[Gross Profit]]/SUMIF(Table6[Product Code],Table6[[#This Row],[Product Code]],Table6[Gross Profit])</f>
        <v>1.8683552196008767E-2</v>
      </c>
      <c r="H124" s="29">
        <f>Table6[[#This Row],[Gross Profit]]/SUM(Table1[Gross Profit])</f>
        <v>4.7597428542082041E-3</v>
      </c>
      <c r="J124" s="7">
        <v>4</v>
      </c>
      <c r="K124" s="3">
        <f>SUMIF(Table6[Competitive Rating*],J124,Table6[Gross Profit])</f>
        <v>35807.93</v>
      </c>
    </row>
    <row r="125" spans="1:11">
      <c r="A125" s="7">
        <v>22</v>
      </c>
      <c r="B125" s="5">
        <v>0.5</v>
      </c>
      <c r="C125" s="3">
        <v>4190</v>
      </c>
      <c r="D125" s="3">
        <v>2095</v>
      </c>
      <c r="E125" s="7">
        <v>5</v>
      </c>
      <c r="F125" s="7">
        <v>3</v>
      </c>
      <c r="G125" s="29">
        <f>Table6[[#This Row],[Gross Profit]]/SUMIF(Table6[Product Code],Table6[[#This Row],[Product Code]],Table6[Gross Profit])</f>
        <v>3.2331693856669508E-2</v>
      </c>
      <c r="H125" s="29">
        <f>Table6[[#This Row],[Gross Profit]]/SUM(Table1[Gross Profit])</f>
        <v>8.2366857856721962E-3</v>
      </c>
      <c r="J125" s="7">
        <v>5</v>
      </c>
      <c r="K125" s="3">
        <f>SUMIF(Table6[Competitive Rating*],J125,Table6[Gross Profit])</f>
        <v>604.79999999999995</v>
      </c>
    </row>
    <row r="126" spans="1:11">
      <c r="A126" s="7">
        <v>31</v>
      </c>
      <c r="B126" s="5">
        <v>0.06</v>
      </c>
      <c r="C126" s="3">
        <v>7632</v>
      </c>
      <c r="D126" s="3">
        <v>457.91999999999996</v>
      </c>
      <c r="E126" s="7">
        <v>5</v>
      </c>
      <c r="F126" s="7">
        <v>4</v>
      </c>
      <c r="G126" s="29">
        <f>Table6[[#This Row],[Gross Profit]]/SUMIF(Table6[Product Code],Table6[[#This Row],[Product Code]],Table6[Gross Profit])</f>
        <v>7.0669829359647253E-3</v>
      </c>
      <c r="H126" s="29">
        <f>Table6[[#This Row],[Gross Profit]]/SUM(Table1[Gross Profit])</f>
        <v>1.8003547279117002E-3</v>
      </c>
    </row>
    <row r="127" spans="1:11">
      <c r="A127" s="7">
        <v>38</v>
      </c>
      <c r="B127" s="5">
        <v>0.27</v>
      </c>
      <c r="C127" s="3">
        <v>19985</v>
      </c>
      <c r="D127" s="3">
        <v>5395.9500000000007</v>
      </c>
      <c r="E127" s="7">
        <v>5</v>
      </c>
      <c r="F127" s="7">
        <v>3</v>
      </c>
      <c r="G127" s="29">
        <f>Table6[[#This Row],[Gross Profit]]/SUMIF(Table6[Product Code],Table6[[#This Row],[Product Code]],Table6[Gross Profit])</f>
        <v>8.3274560126919264E-2</v>
      </c>
      <c r="H127" s="29">
        <f>Table6[[#This Row],[Gross Profit]]/SUM(Table1[Gross Profit])</f>
        <v>2.1214675257851024E-2</v>
      </c>
    </row>
    <row r="128" spans="1:11">
      <c r="A128" s="7">
        <v>39</v>
      </c>
      <c r="B128" s="5">
        <v>0.03</v>
      </c>
      <c r="C128" s="3">
        <v>20160</v>
      </c>
      <c r="D128" s="3">
        <v>604.79999999999995</v>
      </c>
      <c r="E128" s="7">
        <v>5</v>
      </c>
      <c r="F128" s="7">
        <v>5</v>
      </c>
      <c r="G128" s="29">
        <f>Table6[[#This Row],[Gross Profit]]/SUMIF(Table6[Product Code],Table6[[#This Row],[Product Code]],Table6[Gross Profit])</f>
        <v>9.3337510475005811E-3</v>
      </c>
      <c r="H128" s="29">
        <f>Table6[[#This Row],[Gross Profit]]/SUM(Table1[Gross Profit])</f>
        <v>2.3778269991286609E-3</v>
      </c>
    </row>
    <row r="129" spans="1:11">
      <c r="A129" s="7">
        <v>40</v>
      </c>
      <c r="B129" s="5">
        <v>0.46</v>
      </c>
      <c r="C129" s="3">
        <v>26616</v>
      </c>
      <c r="D129" s="3">
        <v>12243.36</v>
      </c>
      <c r="E129" s="7">
        <v>5</v>
      </c>
      <c r="F129" s="7">
        <v>2</v>
      </c>
      <c r="G129" s="29">
        <f>Table6[[#This Row],[Gross Profit]]/SUMIF(Table6[Product Code],Table6[[#This Row],[Product Code]],Table6[Gross Profit])</f>
        <v>0.18894919680047409</v>
      </c>
      <c r="H129" s="29">
        <f>Table6[[#This Row],[Gross Profit]]/SUM(Table1[Gross Profit])</f>
        <v>4.8135899418075202E-2</v>
      </c>
    </row>
    <row r="130" spans="1:11">
      <c r="A130" s="7">
        <v>41</v>
      </c>
      <c r="B130" s="5">
        <v>0.26</v>
      </c>
      <c r="C130" s="3">
        <v>28018</v>
      </c>
      <c r="D130" s="3">
        <v>7284.68</v>
      </c>
      <c r="E130" s="7">
        <v>5</v>
      </c>
      <c r="F130" s="7">
        <v>3</v>
      </c>
      <c r="G130" s="29">
        <f>Table6[[#This Row],[Gross Profit]]/SUMIF(Table6[Product Code],Table6[[#This Row],[Product Code]],Table6[Gross Profit])</f>
        <v>0.11242293250778197</v>
      </c>
      <c r="H130" s="29">
        <f>Table6[[#This Row],[Gross Profit]]/SUM(Table1[Gross Profit])</f>
        <v>2.8640391507957299E-2</v>
      </c>
    </row>
    <row r="131" spans="1:11">
      <c r="A131" s="7">
        <v>53</v>
      </c>
      <c r="B131" s="5">
        <v>0.17</v>
      </c>
      <c r="C131" s="3">
        <v>58063</v>
      </c>
      <c r="D131" s="3">
        <v>9870.7100000000009</v>
      </c>
      <c r="E131" s="7">
        <v>5</v>
      </c>
      <c r="F131" s="7">
        <v>4</v>
      </c>
      <c r="G131" s="29">
        <f>Table6[[#This Row],[Gross Profit]]/SUMIF(Table6[Product Code],Table6[[#This Row],[Product Code]],Table6[Gross Profit])</f>
        <v>0.15233258895845647</v>
      </c>
      <c r="H131" s="29">
        <f>Table6[[#This Row],[Gross Profit]]/SUM(Table1[Gross Profit])</f>
        <v>3.8807607041285164E-2</v>
      </c>
    </row>
    <row r="132" spans="1:11">
      <c r="A132" s="7">
        <v>59</v>
      </c>
      <c r="B132" s="5">
        <v>0.21</v>
      </c>
      <c r="C132" s="3">
        <v>120854</v>
      </c>
      <c r="D132" s="3">
        <v>25379.34</v>
      </c>
      <c r="E132" s="7">
        <v>5</v>
      </c>
      <c r="F132" s="7">
        <v>4</v>
      </c>
      <c r="G132" s="29">
        <f>Table6[[#This Row],[Gross Profit]]/SUMIF(Table6[Product Code],Table6[[#This Row],[Product Code]],Table6[Gross Profit])</f>
        <v>0.3916740101023039</v>
      </c>
      <c r="H132" s="29">
        <f>Table6[[#This Row],[Gross Profit]]/SUM(Table1[Gross Profit])</f>
        <v>9.9781216719685831E-2</v>
      </c>
    </row>
    <row r="133" spans="1:11" ht="15">
      <c r="A133" s="7"/>
      <c r="B133" s="10">
        <f>AVERAGE(Table6[ [ Percent Gross Profit] ])</f>
        <v>0.24749999999999997</v>
      </c>
      <c r="C133" s="11">
        <f>AVERAGE(Table6[Gross Sales])</f>
        <v>24165.916666666668</v>
      </c>
      <c r="D133" s="11">
        <f>AVERAGE(Table6[Gross Profit])</f>
        <v>5399.7583333333341</v>
      </c>
      <c r="E133" s="12"/>
      <c r="F133" s="13">
        <f>AVERAGE(Table6[Competitive Rating*])</f>
        <v>3.0833333333333335</v>
      </c>
      <c r="G133" s="23">
        <f>AVERAGE(Table6[% of Product Profit])</f>
        <v>8.3333333333333329E-2</v>
      </c>
      <c r="H133" s="23">
        <f>AVERAGE(Table6[% of Total Profit])</f>
        <v>2.1229648071709625E-2</v>
      </c>
      <c r="I133" s="2" t="s">
        <v>11</v>
      </c>
    </row>
    <row r="134" spans="1:11" ht="15">
      <c r="A134" s="7"/>
      <c r="B134" s="10">
        <f>MEDIAN(Table6[ [ Percent Gross Profit] ])</f>
        <v>0.215</v>
      </c>
      <c r="C134" s="11">
        <f>MEDIAN(Table6[Gross Sales])</f>
        <v>13808.5</v>
      </c>
      <c r="D134" s="11">
        <f>MEDIAN(Table6[Gross Profit])</f>
        <v>1652.82</v>
      </c>
      <c r="E134" s="12"/>
      <c r="F134" s="13">
        <f>MEDIAN(Table6[Competitive Rating*])</f>
        <v>3</v>
      </c>
      <c r="G134" s="23">
        <f>MEDIAN(Table6[% of Product Profit])</f>
        <v>2.5507623026339139E-2</v>
      </c>
      <c r="H134" s="23">
        <f>MEDIAN(Table6[% of Total Profit])</f>
        <v>6.4982143199401998E-3</v>
      </c>
      <c r="I134" s="2" t="s">
        <v>12</v>
      </c>
    </row>
    <row r="135" spans="1:11" ht="15">
      <c r="A135" s="7"/>
      <c r="B135" s="10">
        <f>_xlfn.MODE.SNGL(Table6[ [ Percent Gross Profit] ])</f>
        <v>0.21</v>
      </c>
      <c r="C135" s="11">
        <f>_xlfn.MODE.SNGL(Table6[Gross Sales])</f>
        <v>476</v>
      </c>
      <c r="D135" s="11">
        <f>_xlfn.MODE.SNGL(Table6[Gross Profit])</f>
        <v>99.96</v>
      </c>
      <c r="E135" s="12"/>
      <c r="F135" s="13">
        <f>_xlfn.MODE.SNGL(Table6[Competitive Rating*])</f>
        <v>4</v>
      </c>
      <c r="G135" s="23">
        <f>_xlfn.MODE.SNGL(Table6[% of Product Profit])</f>
        <v>1.5426616314619015E-3</v>
      </c>
      <c r="H135" s="23">
        <f>_xlfn.MODE.SNGL(Table6[% of Total Profit])</f>
        <v>3.9300196235598697E-4</v>
      </c>
      <c r="I135" s="2" t="s">
        <v>13</v>
      </c>
    </row>
    <row r="136" spans="1:11" ht="15">
      <c r="A136" s="7"/>
      <c r="B136" s="10">
        <f>_xlfn.STDEV.P(Table6[ [ Percent Gross Profit] ])</f>
        <v>0.13479150566708578</v>
      </c>
      <c r="C136" s="11">
        <f>_xlfn.STDEV.P(Table6[Gross Sales])</f>
        <v>33360.87180480134</v>
      </c>
      <c r="D136" s="11">
        <f>_xlfn.STDEV.P(Table6[Gross Profit])</f>
        <v>7246.7749727089331</v>
      </c>
      <c r="E136" s="12"/>
      <c r="F136" s="13">
        <f>_xlfn.STDEV.P(Table6[Competitive Rating*])</f>
        <v>1.1873172373979173</v>
      </c>
      <c r="G136" s="23">
        <f>_xlfn.STDEV.P(Table6[% of Product Profit])</f>
        <v>0.1118379522032457</v>
      </c>
      <c r="H136" s="23">
        <f>_xlfn.STDEV.P(Table6[% of Total Profit])</f>
        <v>2.849136439602706E-2</v>
      </c>
      <c r="I136" s="2" t="s">
        <v>14</v>
      </c>
    </row>
    <row r="137" spans="1:11" ht="15">
      <c r="B137" s="14"/>
      <c r="C137" s="11">
        <f>SUM(Table6[Gross Sales])</f>
        <v>289991</v>
      </c>
      <c r="D137" s="11">
        <f>SUM(Table6[Gross Profit])</f>
        <v>64797.100000000006</v>
      </c>
      <c r="E137" s="15"/>
      <c r="F137" s="15"/>
      <c r="G137" s="23"/>
      <c r="H137" s="23"/>
      <c r="I137" s="2" t="s">
        <v>15</v>
      </c>
    </row>
    <row r="138" spans="1:11" ht="25.5" customHeight="1">
      <c r="A138" s="7" t="s">
        <v>0</v>
      </c>
      <c r="B138" s="5" t="s">
        <v>1</v>
      </c>
      <c r="C138" s="3" t="s">
        <v>2</v>
      </c>
      <c r="D138" s="3" t="s">
        <v>3</v>
      </c>
      <c r="E138" s="7" t="s">
        <v>4</v>
      </c>
      <c r="F138" s="7" t="s">
        <v>5</v>
      </c>
      <c r="G138" s="29" t="s">
        <v>6</v>
      </c>
      <c r="H138" s="29" t="s">
        <v>7</v>
      </c>
      <c r="J138" t="s">
        <v>16</v>
      </c>
      <c r="K138" t="s">
        <v>17</v>
      </c>
    </row>
    <row r="139" spans="1:11">
      <c r="A139" s="7">
        <v>20</v>
      </c>
      <c r="B139" s="5">
        <v>0.24</v>
      </c>
      <c r="C139" s="3">
        <v>3988</v>
      </c>
      <c r="D139" s="3">
        <v>957.12</v>
      </c>
      <c r="E139" s="7">
        <v>6</v>
      </c>
      <c r="F139" s="7">
        <v>3</v>
      </c>
      <c r="G139" s="29">
        <f>Table7[[#This Row],[Gross Profit]]/SUMIF(Table7[Product Code],Table7[[#This Row],[Product Code]],Table7[Gross Profit])</f>
        <v>1.8614554523207223E-2</v>
      </c>
      <c r="H139" s="29">
        <f>Table7[[#This Row],[Gross Profit]]/SUM(Table1[Gross Profit])</f>
        <v>3.7630055843353568E-3</v>
      </c>
      <c r="J139" s="7">
        <v>1</v>
      </c>
      <c r="K139" s="3">
        <f>SUMIF(Table7[Competitive Rating*],J139,Table7[Gross Profit])</f>
        <v>11477.03</v>
      </c>
    </row>
    <row r="140" spans="1:11">
      <c r="A140" s="7">
        <v>25</v>
      </c>
      <c r="B140" s="5">
        <v>0.15</v>
      </c>
      <c r="C140" s="3">
        <v>4824</v>
      </c>
      <c r="D140" s="3">
        <v>723.6</v>
      </c>
      <c r="E140" s="7">
        <v>6</v>
      </c>
      <c r="F140" s="7">
        <v>3</v>
      </c>
      <c r="G140" s="29">
        <f>Table7[[#This Row],[Gross Profit]]/SUMIF(Table7[Product Code],Table7[[#This Row],[Product Code]],Table7[Gross Profit])</f>
        <v>1.4072939289736654E-2</v>
      </c>
      <c r="H140" s="29">
        <f>Table7[[#This Row],[Gross Profit]]/SUM(Table1[Gross Profit])</f>
        <v>2.8449001596717906E-3</v>
      </c>
      <c r="J140" s="7">
        <v>2</v>
      </c>
      <c r="K140" s="3">
        <f>SUMIF(Table7[Competitive Rating*],J140,Table7[Gross Profit])</f>
        <v>12067.22</v>
      </c>
    </row>
    <row r="141" spans="1:11">
      <c r="A141" s="7">
        <v>30</v>
      </c>
      <c r="B141" s="5">
        <v>0.19</v>
      </c>
      <c r="C141" s="3">
        <v>5888</v>
      </c>
      <c r="D141" s="3">
        <v>1118.72</v>
      </c>
      <c r="E141" s="7">
        <v>6</v>
      </c>
      <c r="F141" s="7">
        <v>4</v>
      </c>
      <c r="G141" s="29">
        <f>Table7[[#This Row],[Gross Profit]]/SUMIF(Table7[Product Code],Table7[[#This Row],[Product Code]],Table7[Gross Profit])</f>
        <v>2.1757433170555816E-2</v>
      </c>
      <c r="H141" s="29">
        <f>Table7[[#This Row],[Gross Profit]]/SUM(Table1[Gross Profit])</f>
        <v>4.3983508936263488E-3</v>
      </c>
      <c r="J141" s="7">
        <v>3</v>
      </c>
      <c r="K141" s="3">
        <f>SUMIF(Table7[Competitive Rating*],J141,Table7[Gross Profit])</f>
        <v>26754.860000000004</v>
      </c>
    </row>
    <row r="142" spans="1:11">
      <c r="A142" s="7">
        <v>44</v>
      </c>
      <c r="B142" s="5">
        <v>0.37</v>
      </c>
      <c r="C142" s="3">
        <v>31019</v>
      </c>
      <c r="D142" s="3">
        <v>11477.03</v>
      </c>
      <c r="E142" s="7">
        <v>6</v>
      </c>
      <c r="F142" s="7">
        <v>1</v>
      </c>
      <c r="G142" s="29">
        <f>Table7[[#This Row],[Gross Profit]]/SUMIF(Table7[Product Code],Table7[[#This Row],[Product Code]],Table7[Gross Profit])</f>
        <v>0.22321109233898048</v>
      </c>
      <c r="H142" s="29">
        <f>Table7[[#This Row],[Gross Profit]]/SUM(Table1[Gross Profit])</f>
        <v>4.5123002321113784E-2</v>
      </c>
      <c r="J142" s="7">
        <v>4</v>
      </c>
      <c r="K142" s="3">
        <f>SUMIF(Table7[Competitive Rating*],J142,Table7[Gross Profit])</f>
        <v>1118.72</v>
      </c>
    </row>
    <row r="143" spans="1:11">
      <c r="A143" s="7">
        <v>51</v>
      </c>
      <c r="B143" s="5">
        <v>0.22</v>
      </c>
      <c r="C143" s="3">
        <v>54851</v>
      </c>
      <c r="D143" s="3">
        <v>12067.22</v>
      </c>
      <c r="E143" s="7">
        <v>6</v>
      </c>
      <c r="F143" s="7">
        <v>2</v>
      </c>
      <c r="G143" s="29">
        <f>Table7[[#This Row],[Gross Profit]]/SUMIF(Table7[Product Code],Table7[[#This Row],[Product Code]],Table7[Gross Profit])</f>
        <v>0.23468940637907121</v>
      </c>
      <c r="H143" s="29">
        <f>Table7[[#This Row],[Gross Profit]]/SUM(Table1[Gross Profit])</f>
        <v>4.7443388757317059E-2</v>
      </c>
      <c r="J143" s="7">
        <v>5</v>
      </c>
      <c r="K143" s="3">
        <f>SUMIF(Table7[Competitive Rating*],J143,Table7[Gross Profit])</f>
        <v>0</v>
      </c>
    </row>
    <row r="144" spans="1:11">
      <c r="A144" s="7">
        <v>60</v>
      </c>
      <c r="B144" s="5">
        <v>0.14000000000000001</v>
      </c>
      <c r="C144" s="3">
        <v>179101</v>
      </c>
      <c r="D144" s="3">
        <v>25074.140000000003</v>
      </c>
      <c r="E144" s="7">
        <v>6</v>
      </c>
      <c r="F144" s="7">
        <v>3</v>
      </c>
      <c r="G144" s="29">
        <f>Table7[[#This Row],[Gross Profit]]/SUMIF(Table7[Product Code],Table7[[#This Row],[Product Code]],Table7[Gross Profit])</f>
        <v>0.48765457429844866</v>
      </c>
      <c r="H144" s="29">
        <f>Table7[[#This Row],[Gross Profit]]/SUM(Table1[Gross Profit])</f>
        <v>9.8581294761792213E-2</v>
      </c>
    </row>
    <row r="145" spans="1:11" ht="15">
      <c r="A145" s="7"/>
      <c r="B145" s="10">
        <f>AVERAGE(Table7[ [ Percent Gross Profit] ])</f>
        <v>0.21833333333333335</v>
      </c>
      <c r="C145" s="11">
        <f>AVERAGE(Table7[Gross Sales])</f>
        <v>46611.833333333336</v>
      </c>
      <c r="D145" s="11">
        <f>AVERAGE(Table7[Gross Profit])</f>
        <v>8569.6383333333342</v>
      </c>
      <c r="E145" s="12"/>
      <c r="F145" s="13">
        <f>AVERAGE(Table7[Competitive Rating*])</f>
        <v>2.6666666666666665</v>
      </c>
      <c r="G145" s="23">
        <f>AVERAGE(Table7[% of Product Profit])</f>
        <v>0.16666666666666666</v>
      </c>
      <c r="H145" s="23">
        <f>AVERAGE(Table7[% of Total Profit])</f>
        <v>3.3692323746309427E-2</v>
      </c>
      <c r="I145" s="2" t="s">
        <v>11</v>
      </c>
    </row>
    <row r="146" spans="1:11" ht="15">
      <c r="A146" s="7"/>
      <c r="B146" s="10">
        <f>MEDIAN(Table7[ [ Percent Gross Profit] ])</f>
        <v>0.20500000000000002</v>
      </c>
      <c r="C146" s="11">
        <f>MEDIAN(Table7[Gross Sales])</f>
        <v>18453.5</v>
      </c>
      <c r="D146" s="11">
        <f>MEDIAN(Table7[Gross Profit])</f>
        <v>6297.8750000000009</v>
      </c>
      <c r="E146" s="12"/>
      <c r="F146" s="13">
        <f>MEDIAN(Table7[Competitive Rating*])</f>
        <v>3</v>
      </c>
      <c r="G146" s="23">
        <f>MEDIAN(Table7[% of Product Profit])</f>
        <v>0.12248426275476815</v>
      </c>
      <c r="H146" s="23">
        <f>MEDIAN(Table7[% of Total Profit])</f>
        <v>2.4760676607370066E-2</v>
      </c>
      <c r="I146" s="2" t="s">
        <v>12</v>
      </c>
    </row>
    <row r="147" spans="1:11" ht="15">
      <c r="A147" s="7"/>
      <c r="B147" s="10" t="e">
        <f>_xlfn.MODE.SNGL(Table7[ [ Percent Gross Profit] ])</f>
        <v>#N/A</v>
      </c>
      <c r="C147" s="11" t="e">
        <f>_xlfn.MODE.SNGL(Table7[Gross Sales])</f>
        <v>#N/A</v>
      </c>
      <c r="D147" s="11" t="e">
        <f>_xlfn.MODE.SNGL(Table7[Gross Profit])</f>
        <v>#N/A</v>
      </c>
      <c r="E147" s="12"/>
      <c r="F147" s="13">
        <f>_xlfn.MODE.SNGL(Table7[Competitive Rating*])</f>
        <v>3</v>
      </c>
      <c r="G147" s="23" t="e">
        <f>_xlfn.MODE.SNGL(Table7[% of Product Profit])</f>
        <v>#N/A</v>
      </c>
      <c r="H147" s="23" t="e">
        <f>_xlfn.MODE.SNGL(Table7[% of Total Profit])</f>
        <v>#N/A</v>
      </c>
      <c r="I147" s="2" t="s">
        <v>13</v>
      </c>
    </row>
    <row r="148" spans="1:11" ht="15">
      <c r="A148" s="7"/>
      <c r="B148" s="10">
        <f>_xlfn.STDEV.P(Table7[ [ Percent Gross Profit] ])</f>
        <v>7.6467131646363068E-2</v>
      </c>
      <c r="C148" s="11">
        <f>_xlfn.STDEV.P(Table7[Gross Sales])</f>
        <v>62029.353786242922</v>
      </c>
      <c r="D148" s="11">
        <f>_xlfn.STDEV.P(Table7[Gross Profit])</f>
        <v>8832.8130286721571</v>
      </c>
      <c r="E148" s="12"/>
      <c r="F148" s="13">
        <f>_xlfn.STDEV.P(Table7[Competitive Rating*])</f>
        <v>0.94280904158206336</v>
      </c>
      <c r="G148" s="23">
        <f>_xlfn.STDEV.P(Table7[% of Product Profit])</f>
        <v>0.1717850214346299</v>
      </c>
      <c r="H148" s="23">
        <f>_xlfn.STDEV.P(Table7[% of Total Profit])</f>
        <v>3.4727019341653523E-2</v>
      </c>
      <c r="I148" s="2" t="s">
        <v>14</v>
      </c>
    </row>
    <row r="149" spans="1:11" ht="15">
      <c r="B149" s="14"/>
      <c r="C149" s="11">
        <f>SUM(Table7[Gross Sales])</f>
        <v>279671</v>
      </c>
      <c r="D149" s="11">
        <f>SUM(Table7[Gross Profit])</f>
        <v>51417.83</v>
      </c>
      <c r="E149" s="15"/>
      <c r="F149" s="15"/>
      <c r="G149" s="23"/>
      <c r="H149" s="23"/>
      <c r="I149" s="2" t="s">
        <v>15</v>
      </c>
    </row>
    <row r="150" spans="1:11" ht="25.5" customHeight="1">
      <c r="A150" s="7" t="s">
        <v>0</v>
      </c>
      <c r="B150" s="5" t="s">
        <v>1</v>
      </c>
      <c r="C150" s="3" t="s">
        <v>2</v>
      </c>
      <c r="D150" s="3" t="s">
        <v>3</v>
      </c>
      <c r="E150" s="7" t="s">
        <v>4</v>
      </c>
      <c r="F150" s="7" t="s">
        <v>5</v>
      </c>
      <c r="G150" s="29" t="s">
        <v>6</v>
      </c>
      <c r="H150" s="29" t="s">
        <v>7</v>
      </c>
      <c r="J150" t="s">
        <v>16</v>
      </c>
      <c r="K150" t="s">
        <v>17</v>
      </c>
    </row>
    <row r="151" spans="1:11">
      <c r="A151" s="7">
        <v>10</v>
      </c>
      <c r="B151" s="5">
        <v>0.16550000000000001</v>
      </c>
      <c r="C151" s="3">
        <v>1110</v>
      </c>
      <c r="D151" s="3">
        <v>183.70500000000001</v>
      </c>
      <c r="E151" s="7">
        <v>7</v>
      </c>
      <c r="F151" s="7">
        <v>3</v>
      </c>
      <c r="G151" s="29">
        <f>Table8[[#This Row],[Gross Profit]]/SUMIF(Table8[Product Code],Table8[[#This Row],[Product Code]],Table8[Gross Profit])</f>
        <v>5.95998870325758E-3</v>
      </c>
      <c r="H151" s="29">
        <f>Table8[[#This Row],[Gross Profit]]/SUM(Table1[Gross Profit])</f>
        <v>7.2225315620854942E-4</v>
      </c>
      <c r="J151" s="7">
        <v>1</v>
      </c>
      <c r="K151" s="3">
        <f>SUMIF(Table8[Competitive Rating*],J151,Table8[Gross Profit])</f>
        <v>11127.41</v>
      </c>
    </row>
    <row r="152" spans="1:11">
      <c r="A152" s="7">
        <v>11</v>
      </c>
      <c r="B152" s="5">
        <v>0.2</v>
      </c>
      <c r="C152" s="3">
        <v>1153</v>
      </c>
      <c r="D152" s="3">
        <v>230.60000000000002</v>
      </c>
      <c r="E152" s="7">
        <v>7</v>
      </c>
      <c r="F152" s="7">
        <v>3</v>
      </c>
      <c r="G152" s="29">
        <f>Table8[[#This Row],[Gross Profit]]/SUMIF(Table8[Product Code],Table8[[#This Row],[Product Code]],Table8[Gross Profit])</f>
        <v>7.4814152852192258E-3</v>
      </c>
      <c r="H152" s="29">
        <f>Table8[[#This Row],[Gross Profit]]/SUM(Table1[Gross Profit])</f>
        <v>9.0662517526301134E-4</v>
      </c>
      <c r="J152" s="7">
        <v>2</v>
      </c>
      <c r="K152" s="3">
        <f>SUMIF(Table8[Competitive Rating*],J152,Table8[Gross Profit])</f>
        <v>15742.17</v>
      </c>
    </row>
    <row r="153" spans="1:11">
      <c r="A153" s="7">
        <v>14</v>
      </c>
      <c r="B153" s="5">
        <v>0.2</v>
      </c>
      <c r="C153" s="3">
        <v>2307</v>
      </c>
      <c r="D153" s="3">
        <v>461.40000000000003</v>
      </c>
      <c r="E153" s="7">
        <v>7</v>
      </c>
      <c r="F153" s="7">
        <v>3</v>
      </c>
      <c r="G153" s="29">
        <f>Table8[[#This Row],[Gross Profit]]/SUMIF(Table8[Product Code],Table8[[#This Row],[Product Code]],Table8[Gross Profit])</f>
        <v>1.4969319222030143E-2</v>
      </c>
      <c r="H153" s="29">
        <f>Table8[[#This Row],[Gross Profit]]/SUM(Table1[Gross Profit])</f>
        <v>1.8140366689781155E-3</v>
      </c>
      <c r="J153" s="7">
        <v>3</v>
      </c>
      <c r="K153" s="3">
        <f>SUMIF(Table8[Competitive Rating*],J153,Table8[Gross Profit])</f>
        <v>3465.665</v>
      </c>
    </row>
    <row r="154" spans="1:11">
      <c r="A154" s="7">
        <v>16</v>
      </c>
      <c r="B154" s="5">
        <v>0.28999999999999998</v>
      </c>
      <c r="C154" s="3">
        <v>2683</v>
      </c>
      <c r="D154" s="3">
        <v>778.06999999999994</v>
      </c>
      <c r="E154" s="7">
        <v>7</v>
      </c>
      <c r="F154" s="7">
        <v>2</v>
      </c>
      <c r="G154" s="29">
        <f>Table8[[#This Row],[Gross Profit]]/SUMIF(Table8[Product Code],Table8[[#This Row],[Product Code]],Table8[Gross Profit])</f>
        <v>2.52431257197334E-2</v>
      </c>
      <c r="H154" s="29">
        <f>Table8[[#This Row],[Gross Profit]]/SUM(Table1[Gross Profit])</f>
        <v>3.0590539900992677E-3</v>
      </c>
      <c r="J154" s="7">
        <v>4</v>
      </c>
      <c r="K154" s="3">
        <f>SUMIF(Table8[Competitive Rating*],J154,Table8[Gross Profit])</f>
        <v>487.8</v>
      </c>
    </row>
    <row r="155" spans="1:11">
      <c r="A155" s="7">
        <v>19</v>
      </c>
      <c r="B155" s="5">
        <v>0.6</v>
      </c>
      <c r="C155" s="3">
        <v>3864</v>
      </c>
      <c r="D155" s="3">
        <v>2318.4</v>
      </c>
      <c r="E155" s="7">
        <v>7</v>
      </c>
      <c r="F155" s="7">
        <v>1</v>
      </c>
      <c r="G155" s="29">
        <f>Table8[[#This Row],[Gross Profit]]/SUMIF(Table8[Product Code],Table8[[#This Row],[Product Code]],Table8[Gross Profit])</f>
        <v>7.5216449250877074E-2</v>
      </c>
      <c r="H155" s="29">
        <f>Table8[[#This Row],[Gross Profit]]/SUM(Table1[Gross Profit])</f>
        <v>9.1150034966598677E-3</v>
      </c>
      <c r="J155" s="7">
        <v>5</v>
      </c>
      <c r="K155" s="3">
        <f>SUMIF(Table8[Competitive Rating*],J155,Table8[Gross Profit])</f>
        <v>0</v>
      </c>
    </row>
    <row r="156" spans="1:11">
      <c r="A156" s="7">
        <v>21</v>
      </c>
      <c r="B156" s="5">
        <v>0.09</v>
      </c>
      <c r="C156" s="3">
        <v>4072</v>
      </c>
      <c r="D156" s="3">
        <v>366.47999999999996</v>
      </c>
      <c r="E156" s="7">
        <v>7</v>
      </c>
      <c r="F156" s="7">
        <v>3</v>
      </c>
      <c r="G156" s="29">
        <f>Table8[[#This Row],[Gross Profit]]/SUMIF(Table8[Product Code],Table8[[#This Row],[Product Code]],Table8[Gross Profit])</f>
        <v>1.1889805176613796E-2</v>
      </c>
      <c r="H156" s="29">
        <f>Table8[[#This Row],[Gross Profit]]/SUM(Table1[Gross Profit])</f>
        <v>1.440849931614867E-3</v>
      </c>
    </row>
    <row r="157" spans="1:11">
      <c r="A157" s="7">
        <v>24</v>
      </c>
      <c r="B157" s="5">
        <v>0.32</v>
      </c>
      <c r="C157" s="3">
        <v>4711</v>
      </c>
      <c r="D157" s="3">
        <v>1507.52</v>
      </c>
      <c r="E157" s="7">
        <v>7</v>
      </c>
      <c r="F157" s="7">
        <v>1</v>
      </c>
      <c r="G157" s="29">
        <f>Table8[[#This Row],[Gross Profit]]/SUMIF(Table8[Product Code],Table8[[#This Row],[Product Code]],Table8[Gross Profit])</f>
        <v>4.890886023752683E-2</v>
      </c>
      <c r="H157" s="29">
        <f>Table8[[#This Row],[Gross Profit]]/SUM(Table1[Gross Profit])</f>
        <v>5.9269539644947735E-3</v>
      </c>
    </row>
    <row r="158" spans="1:11">
      <c r="A158" s="7">
        <v>26</v>
      </c>
      <c r="B158" s="5">
        <v>0.1</v>
      </c>
      <c r="C158" s="3">
        <v>4878</v>
      </c>
      <c r="D158" s="3">
        <v>487.8</v>
      </c>
      <c r="E158" s="7">
        <v>7</v>
      </c>
      <c r="F158" s="7">
        <v>4</v>
      </c>
      <c r="G158" s="29">
        <f>Table8[[#This Row],[Gross Profit]]/SUMIF(Table8[Product Code],Table8[[#This Row],[Product Code]],Table8[Gross Profit])</f>
        <v>1.5825821232133296E-2</v>
      </c>
      <c r="H158" s="29">
        <f>Table8[[#This Row],[Gross Profit]]/SUM(Table1[Gross Profit])</f>
        <v>1.9178307046543665E-3</v>
      </c>
    </row>
    <row r="159" spans="1:11">
      <c r="A159" s="7">
        <v>27</v>
      </c>
      <c r="B159" s="5">
        <v>0.13</v>
      </c>
      <c r="C159" s="3">
        <v>5157</v>
      </c>
      <c r="D159" s="3">
        <v>670.41</v>
      </c>
      <c r="E159" s="7">
        <v>7</v>
      </c>
      <c r="F159" s="7">
        <v>2</v>
      </c>
      <c r="G159" s="29">
        <f>Table8[[#This Row],[Gross Profit]]/SUMIF(Table8[Product Code],Table8[[#This Row],[Product Code]],Table8[Gross Profit])</f>
        <v>2.1750284567926367E-2</v>
      </c>
      <c r="H159" s="29">
        <f>Table8[[#This Row],[Gross Profit]]/SUM(Table1[Gross Profit])</f>
        <v>2.6357787673377073E-3</v>
      </c>
    </row>
    <row r="160" spans="1:11">
      <c r="A160" s="7">
        <v>33</v>
      </c>
      <c r="B160" s="5">
        <v>0.23</v>
      </c>
      <c r="C160" s="3">
        <v>12056</v>
      </c>
      <c r="D160" s="3">
        <v>2772.88</v>
      </c>
      <c r="E160" s="7">
        <v>7</v>
      </c>
      <c r="F160" s="7">
        <v>2</v>
      </c>
      <c r="G160" s="29">
        <f>Table8[[#This Row],[Gross Profit]]/SUMIF(Table8[Product Code],Table8[[#This Row],[Product Code]],Table8[Gross Profit])</f>
        <v>8.9961261127834716E-2</v>
      </c>
      <c r="H160" s="29">
        <f>Table8[[#This Row],[Gross Profit]]/SUM(Table1[Gross Profit])</f>
        <v>1.0901833547195572E-2</v>
      </c>
    </row>
    <row r="161" spans="1:9">
      <c r="A161" s="7">
        <v>36</v>
      </c>
      <c r="B161" s="5">
        <v>0.14000000000000001</v>
      </c>
      <c r="C161" s="3">
        <v>15882</v>
      </c>
      <c r="D161" s="3">
        <v>2223.48</v>
      </c>
      <c r="E161" s="7">
        <v>7</v>
      </c>
      <c r="F161" s="7">
        <v>3</v>
      </c>
      <c r="G161" s="29">
        <f>Table8[[#This Row],[Gross Profit]]/SUMIF(Table8[Product Code],Table8[[#This Row],[Product Code]],Table8[Gross Profit])</f>
        <v>7.2136935205460731E-2</v>
      </c>
      <c r="H161" s="29">
        <f>Table8[[#This Row],[Gross Profit]]/SUM(Table1[Gross Profit])</f>
        <v>8.7418167592966181E-3</v>
      </c>
    </row>
    <row r="162" spans="1:9">
      <c r="A162" s="7">
        <v>46</v>
      </c>
      <c r="B162" s="5">
        <v>0.21</v>
      </c>
      <c r="C162" s="3">
        <v>34769</v>
      </c>
      <c r="D162" s="3">
        <v>7301.49</v>
      </c>
      <c r="E162" s="7">
        <v>7</v>
      </c>
      <c r="F162" s="7">
        <v>1</v>
      </c>
      <c r="G162" s="29">
        <f>Table8[[#This Row],[Gross Profit]]/SUMIF(Table8[Product Code],Table8[[#This Row],[Product Code]],Table8[Gross Profit])</f>
        <v>0.23688412355106384</v>
      </c>
      <c r="H162" s="29">
        <f>Table8[[#This Row],[Gross Profit]]/SUM(Table1[Gross Profit])</f>
        <v>2.8706481573855698E-2</v>
      </c>
    </row>
    <row r="163" spans="1:9">
      <c r="A163" s="7">
        <v>52</v>
      </c>
      <c r="B163" s="5">
        <v>0.21</v>
      </c>
      <c r="C163" s="3">
        <v>54861</v>
      </c>
      <c r="D163" s="3">
        <v>11520.81</v>
      </c>
      <c r="E163" s="7">
        <v>7</v>
      </c>
      <c r="F163" s="7">
        <v>2</v>
      </c>
      <c r="G163" s="29">
        <f>Table8[[#This Row],[Gross Profit]]/SUMIF(Table8[Product Code],Table8[[#This Row],[Product Code]],Table8[Gross Profit])</f>
        <v>0.37377261072032308</v>
      </c>
      <c r="H163" s="29">
        <f>Table8[[#This Row],[Gross Profit]]/SUM(Table1[Gross Profit])</f>
        <v>4.5295127430276895E-2</v>
      </c>
    </row>
    <row r="164" spans="1:9" ht="15">
      <c r="A164" s="7"/>
      <c r="B164" s="10">
        <f>AVERAGE(Table8[ [ Percent Gross Profit] ])</f>
        <v>0.22196153846153849</v>
      </c>
      <c r="C164" s="11">
        <f>AVERAGE(Table8[Gross Sales])</f>
        <v>11346.384615384615</v>
      </c>
      <c r="D164" s="11">
        <f>AVERAGE(Table8[Gross Profit])</f>
        <v>2371.0034615384616</v>
      </c>
      <c r="E164" s="12"/>
      <c r="F164" s="13">
        <f>AVERAGE(Table8[Competitive Rating*])</f>
        <v>2.3076923076923075</v>
      </c>
      <c r="G164" s="23">
        <f>AVERAGE(Table8[% of Product Profit])</f>
        <v>7.6923076923076927E-2</v>
      </c>
      <c r="H164" s="23">
        <f>AVERAGE(Table8[% of Total Profit])</f>
        <v>9.3218188589181007E-3</v>
      </c>
      <c r="I164" s="2" t="s">
        <v>11</v>
      </c>
    </row>
    <row r="165" spans="1:9" ht="15">
      <c r="A165" s="7"/>
      <c r="B165" s="10">
        <f>MEDIAN(Table8[ [ Percent Gross Profit] ])</f>
        <v>0.2</v>
      </c>
      <c r="C165" s="11">
        <f>MEDIAN(Table8[Gross Sales])</f>
        <v>4711</v>
      </c>
      <c r="D165" s="11">
        <f>MEDIAN(Table8[Gross Profit])</f>
        <v>778.06999999999994</v>
      </c>
      <c r="E165" s="12"/>
      <c r="F165" s="13">
        <f>MEDIAN(Table8[Competitive Rating*])</f>
        <v>2</v>
      </c>
      <c r="G165" s="23">
        <f>MEDIAN(Table8[% of Product Profit])</f>
        <v>2.52431257197334E-2</v>
      </c>
      <c r="H165" s="23">
        <f>MEDIAN(Table8[% of Total Profit])</f>
        <v>3.0590539900992677E-3</v>
      </c>
      <c r="I165" s="2" t="s">
        <v>12</v>
      </c>
    </row>
    <row r="166" spans="1:9" ht="15">
      <c r="A166" s="7"/>
      <c r="B166" s="10">
        <f>_xlfn.MODE.SNGL(Table8[ [ Percent Gross Profit] ])</f>
        <v>0.2</v>
      </c>
      <c r="C166" s="11" t="e">
        <f>_xlfn.MODE.SNGL(Table8[Gross Sales])</f>
        <v>#N/A</v>
      </c>
      <c r="D166" s="11" t="e">
        <f>_xlfn.MODE.SNGL(Table8[Gross Profit])</f>
        <v>#N/A</v>
      </c>
      <c r="E166" s="12"/>
      <c r="F166" s="13">
        <f>_xlfn.MODE.SNGL(Table8[Competitive Rating*])</f>
        <v>3</v>
      </c>
      <c r="G166" s="23" t="e">
        <f>_xlfn.MODE.SNGL(Table8[% of Product Profit])</f>
        <v>#N/A</v>
      </c>
      <c r="H166" s="23" t="e">
        <f>_xlfn.MODE.SNGL(Table8[% of Total Profit])</f>
        <v>#N/A</v>
      </c>
      <c r="I166" s="2" t="s">
        <v>13</v>
      </c>
    </row>
    <row r="167" spans="1:9" ht="15">
      <c r="A167" s="7"/>
      <c r="B167" s="10">
        <f>_xlfn.STDEV.P(Table8[ [ Percent Gross Profit] ])</f>
        <v>0.12683127215964182</v>
      </c>
      <c r="C167" s="11">
        <f>_xlfn.STDEV.P(Table8[Gross Sales])</f>
        <v>15346.633188966445</v>
      </c>
      <c r="D167" s="11">
        <f>_xlfn.STDEV.P(Table8[Gross Profit])</f>
        <v>3222.1171679463419</v>
      </c>
      <c r="E167" s="12"/>
      <c r="F167" s="13">
        <f>_xlfn.STDEV.P(Table8[Competitive Rating*])</f>
        <v>0.91016612047686396</v>
      </c>
      <c r="G167" s="23">
        <f>_xlfn.STDEV.P(Table8[% of Product Profit])</f>
        <v>0.1045359784520427</v>
      </c>
      <c r="H167" s="23">
        <f>_xlfn.STDEV.P(Table8[% of Total Profit])</f>
        <v>1.26680509198062E-2</v>
      </c>
      <c r="I167" s="2" t="s">
        <v>14</v>
      </c>
    </row>
    <row r="168" spans="1:9" ht="15">
      <c r="B168" s="14"/>
      <c r="C168" s="11">
        <f>SUM(Table8[Gross Sales])</f>
        <v>147503</v>
      </c>
      <c r="D168" s="11">
        <f>SUM(Table8[Gross Profit])</f>
        <v>30823.044999999998</v>
      </c>
      <c r="E168" s="15"/>
      <c r="F168" s="15"/>
      <c r="G168" s="23"/>
      <c r="H168" s="23"/>
      <c r="I168" s="2" t="s">
        <v>15</v>
      </c>
    </row>
  </sheetData>
  <dataConsolidate topLabels="1">
    <dataRefs count="2">
      <dataRef ref="A67:F71" sheet="Data"/>
      <dataRef ref="F67:F71" sheet="Data"/>
    </dataRefs>
  </dataConsolidate>
  <phoneticPr fontId="0" type="noConversion"/>
  <pageMargins left="0.75" right="0.75" top="1" bottom="1" header="0.5" footer="0.5"/>
  <pageSetup orientation="portrait" horizontalDpi="4294967292" verticalDpi="4294967292"/>
  <headerFooter alignWithMargins="0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Cincinnati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College of Business</dc:creator>
  <cp:keywords/>
  <dc:description/>
  <cp:lastModifiedBy/>
  <cp:revision/>
  <dcterms:created xsi:type="dcterms:W3CDTF">2005-01-18T16:29:10Z</dcterms:created>
  <dcterms:modified xsi:type="dcterms:W3CDTF">2021-07-18T00:39:20Z</dcterms:modified>
  <cp:category/>
  <cp:contentStatus/>
</cp:coreProperties>
</file>