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tables/table13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5.xml" ContentType="application/vnd.openxmlformats-officedocument.drawing+xml"/>
  <Override PartName="/xl/tables/table15.xml" ContentType="application/vnd.openxmlformats-officedocument.spreadsheetml.tab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6.xml" ContentType="application/vnd.openxmlformats-officedocument.drawing+xml"/>
  <Override PartName="/xl/tables/table16.xml" ContentType="application/vnd.openxmlformats-officedocument.spreadsheetml.tab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7.xml" ContentType="application/vnd.openxmlformats-officedocument.drawing+xml"/>
  <Override PartName="/xl/tables/table17.xml" ContentType="application/vnd.openxmlformats-officedocument.spreadsheetml.tab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8.xml" ContentType="application/vnd.openxmlformats-officedocument.drawing+xml"/>
  <Override PartName="/xl/tables/table18.xml" ContentType="application/vnd.openxmlformats-officedocument.spreadsheetml.tab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9.xml" ContentType="application/vnd.openxmlformats-officedocument.drawing+xml"/>
  <Override PartName="/xl/tables/table19.xml" ContentType="application/vnd.openxmlformats-officedocument.spreadsheetml.tab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uatedu-my.sharepoint.com/personal/jakoconn_uat_edu/Documents/MS544/"/>
    </mc:Choice>
  </mc:AlternateContent>
  <xr:revisionPtr revIDLastSave="1416" documentId="8_{AB3B41EB-4E76-44B7-9B57-43E15825F1B9}" xr6:coauthVersionLast="47" xr6:coauthVersionMax="47" xr10:uidLastSave="{25A02F46-C0D4-4D05-91D8-ACC05F00985F}"/>
  <bookViews>
    <workbookView xWindow="-120" yWindow="-120" windowWidth="29040" windowHeight="15840" tabRatio="918" activeTab="4" xr2:uid="{00000000-000D-0000-FFFF-FFFF00000000}"/>
  </bookViews>
  <sheets>
    <sheet name=" Dealer Satisfaction" sheetId="1" r:id="rId1"/>
    <sheet name="End-User Satisfaction" sheetId="2" r:id="rId2"/>
    <sheet name="Complaints" sheetId="4" r:id="rId3"/>
    <sheet name="Complaints &amp; Sales" sheetId="25" r:id="rId4"/>
    <sheet name="Mower Unit Sales" sheetId="5" r:id="rId5"/>
    <sheet name="Industry Mower Total Sales" sheetId="7" r:id="rId6"/>
    <sheet name="Tractor Unit Sales" sheetId="6" r:id="rId7"/>
    <sheet name="Industry Tractor Total Sales" sheetId="8" r:id="rId8"/>
    <sheet name="Sheet2" sheetId="26" r:id="rId9"/>
    <sheet name="Unit Production Costs" sheetId="24" r:id="rId10"/>
    <sheet name="2014 Customer Survey" sheetId="3" r:id="rId11"/>
  </sheets>
  <definedNames>
    <definedName name="Macro_8_4_4">[0]!Macro_8_4_4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26" l="1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D2" i="26"/>
  <c r="D3" i="26"/>
  <c r="D4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D59" i="26"/>
  <c r="D60" i="26"/>
  <c r="D61" i="26"/>
  <c r="C2" i="26"/>
  <c r="C3" i="26"/>
  <c r="C4" i="26"/>
  <c r="C5" i="26"/>
  <c r="C6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C27" i="26"/>
  <c r="C28" i="26"/>
  <c r="C29" i="26"/>
  <c r="C30" i="26"/>
  <c r="C31" i="26"/>
  <c r="C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C54" i="26"/>
  <c r="C55" i="26"/>
  <c r="C56" i="26"/>
  <c r="C57" i="26"/>
  <c r="C58" i="26"/>
  <c r="C59" i="26"/>
  <c r="C60" i="26"/>
  <c r="C61" i="26"/>
  <c r="B2" i="26"/>
  <c r="B3" i="26"/>
  <c r="B4" i="26"/>
  <c r="B5" i="26"/>
  <c r="B6" i="26"/>
  <c r="B7" i="26"/>
  <c r="B8" i="26"/>
  <c r="B9" i="26"/>
  <c r="B10" i="26"/>
  <c r="B11" i="26"/>
  <c r="B12" i="26"/>
  <c r="B13" i="26"/>
  <c r="B14" i="26"/>
  <c r="B15" i="26"/>
  <c r="B16" i="26"/>
  <c r="B17" i="26"/>
  <c r="B18" i="26"/>
  <c r="B19" i="26"/>
  <c r="B20" i="26"/>
  <c r="B21" i="26"/>
  <c r="B22" i="26"/>
  <c r="B23" i="26"/>
  <c r="B24" i="26"/>
  <c r="B25" i="26"/>
  <c r="B26" i="26"/>
  <c r="B27" i="26"/>
  <c r="B28" i="26"/>
  <c r="B29" i="26"/>
  <c r="B30" i="26"/>
  <c r="B31" i="26"/>
  <c r="B32" i="26"/>
  <c r="B33" i="26"/>
  <c r="B34" i="26"/>
  <c r="B35" i="26"/>
  <c r="B36" i="26"/>
  <c r="B37" i="26"/>
  <c r="B38" i="26"/>
  <c r="B39" i="26"/>
  <c r="B40" i="26"/>
  <c r="B41" i="26"/>
  <c r="B42" i="26"/>
  <c r="B43" i="26"/>
  <c r="B44" i="26"/>
  <c r="B45" i="26"/>
  <c r="B46" i="26"/>
  <c r="B47" i="26"/>
  <c r="B48" i="26"/>
  <c r="B49" i="26"/>
  <c r="B50" i="26"/>
  <c r="B51" i="26"/>
  <c r="B52" i="26"/>
  <c r="B53" i="26"/>
  <c r="B54" i="26"/>
  <c r="B55" i="26"/>
  <c r="B56" i="26"/>
  <c r="B57" i="26"/>
  <c r="B58" i="26"/>
  <c r="B59" i="26"/>
  <c r="B60" i="26"/>
  <c r="B61" i="26"/>
  <c r="A1" i="26"/>
  <c r="A2" i="26"/>
  <c r="A3" i="26"/>
  <c r="A4" i="26"/>
  <c r="A5" i="26"/>
  <c r="A6" i="26"/>
  <c r="A7" i="26"/>
  <c r="A8" i="26"/>
  <c r="A9" i="26"/>
  <c r="A10" i="26"/>
  <c r="A11" i="26"/>
  <c r="A12" i="26"/>
  <c r="A13" i="26"/>
  <c r="A14" i="26"/>
  <c r="A15" i="26"/>
  <c r="A16" i="26"/>
  <c r="A17" i="26"/>
  <c r="A18" i="26"/>
  <c r="A19" i="26"/>
  <c r="A20" i="26"/>
  <c r="A21" i="26"/>
  <c r="A22" i="26"/>
  <c r="A23" i="26"/>
  <c r="A24" i="26"/>
  <c r="A25" i="26"/>
  <c r="A26" i="26"/>
  <c r="A27" i="26"/>
  <c r="A28" i="26"/>
  <c r="A29" i="26"/>
  <c r="A30" i="26"/>
  <c r="A31" i="26"/>
  <c r="A32" i="26"/>
  <c r="A33" i="26"/>
  <c r="A34" i="26"/>
  <c r="A35" i="26"/>
  <c r="A36" i="26"/>
  <c r="A37" i="26"/>
  <c r="A38" i="26"/>
  <c r="A39" i="26"/>
  <c r="A40" i="26"/>
  <c r="A41" i="26"/>
  <c r="A42" i="26"/>
  <c r="A43" i="26"/>
  <c r="A44" i="26"/>
  <c r="A45" i="26"/>
  <c r="A46" i="26"/>
  <c r="A47" i="26"/>
  <c r="A48" i="26"/>
  <c r="A49" i="26"/>
  <c r="A50" i="26"/>
  <c r="A51" i="26"/>
  <c r="A52" i="26"/>
  <c r="A53" i="26"/>
  <c r="A54" i="26"/>
  <c r="A55" i="26"/>
  <c r="A56" i="26"/>
  <c r="A57" i="26"/>
  <c r="A58" i="26"/>
  <c r="A59" i="26"/>
  <c r="A60" i="26"/>
  <c r="A61" i="26"/>
  <c r="B61" i="25"/>
  <c r="D61" i="25"/>
  <c r="F61" i="25"/>
  <c r="B60" i="25"/>
  <c r="D60" i="25"/>
  <c r="F60" i="25"/>
  <c r="B59" i="25"/>
  <c r="D59" i="25"/>
  <c r="F59" i="25"/>
  <c r="B58" i="25"/>
  <c r="D58" i="25"/>
  <c r="F58" i="25"/>
  <c r="B57" i="25"/>
  <c r="D57" i="25"/>
  <c r="F57" i="25"/>
  <c r="B56" i="25"/>
  <c r="D56" i="25"/>
  <c r="F56" i="25"/>
  <c r="B55" i="25"/>
  <c r="D55" i="25"/>
  <c r="F55" i="25"/>
  <c r="B54" i="25"/>
  <c r="D54" i="25"/>
  <c r="F54" i="25"/>
  <c r="B53" i="25"/>
  <c r="D53" i="25"/>
  <c r="F53" i="25"/>
  <c r="B52" i="25"/>
  <c r="D52" i="25"/>
  <c r="F52" i="25"/>
  <c r="B51" i="25"/>
  <c r="D51" i="25"/>
  <c r="F51" i="25"/>
  <c r="B50" i="25"/>
  <c r="D50" i="25"/>
  <c r="F50" i="25"/>
  <c r="B49" i="25"/>
  <c r="D49" i="25"/>
  <c r="F49" i="25"/>
  <c r="B48" i="25"/>
  <c r="D48" i="25"/>
  <c r="F48" i="25"/>
  <c r="B47" i="25"/>
  <c r="D47" i="25"/>
  <c r="F47" i="25"/>
  <c r="B46" i="25"/>
  <c r="D46" i="25"/>
  <c r="F46" i="25"/>
  <c r="B45" i="25"/>
  <c r="D45" i="25"/>
  <c r="F45" i="25"/>
  <c r="B44" i="25"/>
  <c r="D44" i="25"/>
  <c r="F44" i="25"/>
  <c r="B43" i="25"/>
  <c r="D43" i="25"/>
  <c r="F43" i="25"/>
  <c r="B42" i="25"/>
  <c r="D42" i="25"/>
  <c r="F42" i="25"/>
  <c r="B41" i="25"/>
  <c r="D41" i="25"/>
  <c r="F41" i="25"/>
  <c r="B40" i="25"/>
  <c r="D40" i="25"/>
  <c r="F40" i="25"/>
  <c r="B39" i="25"/>
  <c r="D39" i="25"/>
  <c r="F39" i="25"/>
  <c r="B38" i="25"/>
  <c r="D38" i="25"/>
  <c r="F38" i="25"/>
  <c r="B37" i="25"/>
  <c r="D37" i="25"/>
  <c r="F37" i="25"/>
  <c r="B36" i="25"/>
  <c r="D36" i="25"/>
  <c r="F36" i="25"/>
  <c r="B35" i="25"/>
  <c r="D35" i="25"/>
  <c r="F35" i="25"/>
  <c r="B34" i="25"/>
  <c r="D34" i="25"/>
  <c r="F34" i="25"/>
  <c r="B33" i="25"/>
  <c r="D33" i="25"/>
  <c r="F33" i="25"/>
  <c r="B32" i="25"/>
  <c r="D32" i="25"/>
  <c r="F32" i="25"/>
  <c r="B31" i="25"/>
  <c r="D31" i="25"/>
  <c r="F31" i="25"/>
  <c r="B30" i="25"/>
  <c r="D30" i="25"/>
  <c r="F30" i="25"/>
  <c r="B29" i="25"/>
  <c r="D29" i="25"/>
  <c r="F29" i="25"/>
  <c r="B28" i="25"/>
  <c r="D28" i="25"/>
  <c r="F28" i="25"/>
  <c r="B27" i="25"/>
  <c r="D27" i="25"/>
  <c r="F27" i="25"/>
  <c r="B26" i="25"/>
  <c r="D26" i="25"/>
  <c r="F26" i="25"/>
  <c r="B25" i="25"/>
  <c r="D25" i="25"/>
  <c r="F25" i="25"/>
  <c r="B24" i="25"/>
  <c r="D24" i="25"/>
  <c r="F24" i="25"/>
  <c r="B23" i="25"/>
  <c r="D23" i="25"/>
  <c r="F23" i="25"/>
  <c r="B22" i="25"/>
  <c r="D22" i="25"/>
  <c r="F22" i="25"/>
  <c r="B21" i="25"/>
  <c r="D21" i="25"/>
  <c r="F21" i="25"/>
  <c r="B20" i="25"/>
  <c r="D20" i="25"/>
  <c r="F20" i="25"/>
  <c r="B19" i="25"/>
  <c r="D19" i="25"/>
  <c r="F19" i="25"/>
  <c r="B18" i="25"/>
  <c r="D18" i="25"/>
  <c r="F18" i="25"/>
  <c r="B17" i="25"/>
  <c r="D17" i="25"/>
  <c r="F17" i="25"/>
  <c r="B16" i="25"/>
  <c r="D16" i="25"/>
  <c r="F16" i="25"/>
  <c r="B15" i="25"/>
  <c r="D15" i="25"/>
  <c r="F15" i="25"/>
  <c r="B14" i="25"/>
  <c r="D14" i="25"/>
  <c r="F14" i="25"/>
  <c r="B13" i="25"/>
  <c r="D13" i="25"/>
  <c r="F13" i="25"/>
  <c r="B12" i="25"/>
  <c r="D12" i="25"/>
  <c r="F12" i="25"/>
  <c r="B11" i="25"/>
  <c r="D11" i="25"/>
  <c r="F11" i="25"/>
  <c r="B10" i="25"/>
  <c r="D10" i="25"/>
  <c r="F10" i="25"/>
  <c r="B9" i="25"/>
  <c r="D9" i="25"/>
  <c r="F9" i="25"/>
  <c r="B8" i="25"/>
  <c r="D8" i="25"/>
  <c r="F8" i="25"/>
  <c r="B7" i="25"/>
  <c r="D7" i="25"/>
  <c r="F7" i="25"/>
  <c r="B6" i="25"/>
  <c r="D6" i="25"/>
  <c r="F6" i="25"/>
  <c r="B5" i="25"/>
  <c r="D5" i="25"/>
  <c r="F5" i="25"/>
  <c r="B4" i="25"/>
  <c r="D4" i="25"/>
  <c r="F4" i="25"/>
  <c r="B3" i="25"/>
  <c r="D3" i="25"/>
  <c r="F3" i="25"/>
  <c r="B2" i="25"/>
  <c r="D2" i="25"/>
  <c r="F2" i="25"/>
  <c r="C61" i="25"/>
  <c r="E61" i="25"/>
  <c r="C60" i="25"/>
  <c r="E60" i="25"/>
  <c r="C59" i="25"/>
  <c r="E59" i="25"/>
  <c r="C58" i="25"/>
  <c r="E58" i="25"/>
  <c r="C57" i="25"/>
  <c r="E57" i="25"/>
  <c r="C56" i="25"/>
  <c r="E56" i="25"/>
  <c r="C55" i="25"/>
  <c r="E55" i="25"/>
  <c r="C54" i="25"/>
  <c r="E54" i="25"/>
  <c r="C53" i="25"/>
  <c r="E53" i="25"/>
  <c r="C52" i="25"/>
  <c r="E52" i="25"/>
  <c r="C51" i="25"/>
  <c r="E51" i="25"/>
  <c r="C50" i="25"/>
  <c r="E50" i="25"/>
  <c r="C49" i="25"/>
  <c r="E49" i="25"/>
  <c r="C48" i="25"/>
  <c r="E48" i="25"/>
  <c r="C47" i="25"/>
  <c r="E47" i="25"/>
  <c r="C46" i="25"/>
  <c r="E46" i="25"/>
  <c r="C45" i="25"/>
  <c r="E45" i="25"/>
  <c r="C44" i="25"/>
  <c r="E44" i="25"/>
  <c r="C43" i="25"/>
  <c r="E43" i="25"/>
  <c r="C42" i="25"/>
  <c r="E42" i="25"/>
  <c r="C41" i="25"/>
  <c r="E41" i="25"/>
  <c r="C40" i="25"/>
  <c r="E40" i="25"/>
  <c r="C39" i="25"/>
  <c r="E39" i="25"/>
  <c r="C38" i="25"/>
  <c r="E38" i="25"/>
  <c r="C37" i="25"/>
  <c r="E37" i="25"/>
  <c r="C36" i="25"/>
  <c r="E36" i="25"/>
  <c r="C35" i="25"/>
  <c r="E35" i="25"/>
  <c r="C34" i="25"/>
  <c r="E34" i="25"/>
  <c r="C33" i="25"/>
  <c r="E33" i="25"/>
  <c r="C32" i="25"/>
  <c r="E32" i="25"/>
  <c r="C31" i="25"/>
  <c r="E31" i="25"/>
  <c r="C30" i="25"/>
  <c r="E30" i="25"/>
  <c r="C29" i="25"/>
  <c r="E29" i="25"/>
  <c r="C28" i="25"/>
  <c r="E28" i="25"/>
  <c r="C27" i="25"/>
  <c r="E27" i="25"/>
  <c r="C26" i="25"/>
  <c r="E26" i="25"/>
  <c r="C25" i="25"/>
  <c r="E25" i="25"/>
  <c r="C24" i="25"/>
  <c r="E24" i="25"/>
  <c r="C23" i="25"/>
  <c r="E23" i="25"/>
  <c r="C22" i="25"/>
  <c r="E22" i="25"/>
  <c r="C21" i="25"/>
  <c r="E21" i="25"/>
  <c r="C20" i="25"/>
  <c r="E20" i="25"/>
  <c r="C19" i="25"/>
  <c r="E19" i="25"/>
  <c r="C18" i="25"/>
  <c r="E18" i="25"/>
  <c r="C17" i="25"/>
  <c r="E17" i="25"/>
  <c r="C16" i="25"/>
  <c r="E16" i="25"/>
  <c r="C15" i="25"/>
  <c r="E15" i="25"/>
  <c r="C14" i="25"/>
  <c r="E14" i="25"/>
  <c r="C13" i="25"/>
  <c r="E13" i="25"/>
  <c r="C12" i="25"/>
  <c r="E12" i="25"/>
  <c r="C11" i="25"/>
  <c r="E11" i="25"/>
  <c r="C10" i="25"/>
  <c r="E10" i="25"/>
  <c r="C9" i="25"/>
  <c r="E9" i="25"/>
  <c r="C8" i="25"/>
  <c r="E8" i="25"/>
  <c r="C7" i="25"/>
  <c r="E7" i="25"/>
  <c r="C6" i="25"/>
  <c r="E6" i="25"/>
  <c r="C5" i="25"/>
  <c r="E5" i="25"/>
  <c r="C4" i="25"/>
  <c r="E4" i="25"/>
  <c r="C3" i="25"/>
  <c r="E3" i="25"/>
  <c r="C2" i="25"/>
  <c r="E2" i="25"/>
  <c r="A1" i="25"/>
  <c r="A2" i="25"/>
  <c r="A3" i="25"/>
  <c r="A4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A33" i="25"/>
  <c r="A34" i="25"/>
  <c r="A35" i="25"/>
  <c r="A36" i="25"/>
  <c r="A37" i="25"/>
  <c r="A38" i="25"/>
  <c r="A39" i="25"/>
  <c r="A40" i="25"/>
  <c r="A41" i="25"/>
  <c r="A42" i="25"/>
  <c r="A43" i="25"/>
  <c r="A44" i="25"/>
  <c r="A45" i="25"/>
  <c r="A46" i="25"/>
  <c r="A47" i="25"/>
  <c r="A48" i="25"/>
  <c r="A49" i="25"/>
  <c r="A50" i="25"/>
  <c r="A51" i="25"/>
  <c r="A52" i="25"/>
  <c r="A53" i="25"/>
  <c r="A54" i="25"/>
  <c r="A55" i="25"/>
  <c r="A56" i="25"/>
  <c r="A57" i="25"/>
  <c r="A58" i="25"/>
  <c r="A59" i="25"/>
  <c r="A60" i="25"/>
  <c r="A61" i="25"/>
  <c r="I41" i="2" a="1"/>
  <c r="I41" i="2"/>
  <c r="H66" i="4"/>
  <c r="H65" i="4"/>
  <c r="H64" i="4"/>
  <c r="H63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M66" i="6"/>
  <c r="L66" i="6"/>
  <c r="K66" i="6"/>
  <c r="J66" i="6"/>
  <c r="I66" i="6"/>
  <c r="H66" i="6"/>
  <c r="G66" i="6"/>
  <c r="F66" i="6"/>
  <c r="M65" i="6"/>
  <c r="L65" i="6"/>
  <c r="K65" i="6"/>
  <c r="J65" i="6"/>
  <c r="I65" i="6"/>
  <c r="H65" i="6"/>
  <c r="G65" i="6"/>
  <c r="F65" i="6"/>
  <c r="M64" i="6"/>
  <c r="L64" i="6"/>
  <c r="K64" i="6"/>
  <c r="J64" i="6"/>
  <c r="I64" i="6"/>
  <c r="H64" i="6"/>
  <c r="G64" i="6"/>
  <c r="F64" i="6"/>
  <c r="M63" i="6"/>
  <c r="L63" i="6"/>
  <c r="K63" i="6"/>
  <c r="J63" i="6"/>
  <c r="I63" i="6"/>
  <c r="H63" i="6"/>
  <c r="G63" i="6"/>
  <c r="F63" i="6"/>
  <c r="E63" i="6"/>
  <c r="D63" i="6"/>
  <c r="C63" i="6"/>
  <c r="B63" i="6"/>
  <c r="G2" i="5"/>
  <c r="M2" i="5"/>
  <c r="G3" i="5"/>
  <c r="M3" i="5"/>
  <c r="G4" i="5"/>
  <c r="M4" i="5"/>
  <c r="G5" i="5"/>
  <c r="M5" i="5"/>
  <c r="G6" i="5"/>
  <c r="M6" i="5"/>
  <c r="G7" i="5"/>
  <c r="M7" i="5"/>
  <c r="G8" i="5"/>
  <c r="M8" i="5"/>
  <c r="G9" i="5"/>
  <c r="M9" i="5"/>
  <c r="G10" i="5"/>
  <c r="M10" i="5"/>
  <c r="G11" i="5"/>
  <c r="M11" i="5"/>
  <c r="G12" i="5"/>
  <c r="M12" i="5"/>
  <c r="G13" i="5"/>
  <c r="M13" i="5"/>
  <c r="G14" i="5"/>
  <c r="M14" i="5"/>
  <c r="G15" i="5"/>
  <c r="M15" i="5"/>
  <c r="G16" i="5"/>
  <c r="M16" i="5"/>
  <c r="G17" i="5"/>
  <c r="M17" i="5"/>
  <c r="G18" i="5"/>
  <c r="M18" i="5"/>
  <c r="G19" i="5"/>
  <c r="M19" i="5"/>
  <c r="G20" i="5"/>
  <c r="M20" i="5"/>
  <c r="G21" i="5"/>
  <c r="M21" i="5"/>
  <c r="G22" i="5"/>
  <c r="M22" i="5"/>
  <c r="G23" i="5"/>
  <c r="M23" i="5"/>
  <c r="G24" i="5"/>
  <c r="M24" i="5"/>
  <c r="G25" i="5"/>
  <c r="M25" i="5"/>
  <c r="G26" i="5"/>
  <c r="M26" i="5"/>
  <c r="G27" i="5"/>
  <c r="M27" i="5"/>
  <c r="G28" i="5"/>
  <c r="M28" i="5"/>
  <c r="G29" i="5"/>
  <c r="M29" i="5"/>
  <c r="G30" i="5"/>
  <c r="M30" i="5"/>
  <c r="G31" i="5"/>
  <c r="M31" i="5"/>
  <c r="G32" i="5"/>
  <c r="M32" i="5"/>
  <c r="G33" i="5"/>
  <c r="M33" i="5"/>
  <c r="G34" i="5"/>
  <c r="M34" i="5"/>
  <c r="G35" i="5"/>
  <c r="M35" i="5"/>
  <c r="G36" i="5"/>
  <c r="M36" i="5"/>
  <c r="G37" i="5"/>
  <c r="M37" i="5"/>
  <c r="G38" i="5"/>
  <c r="M38" i="5"/>
  <c r="G39" i="5"/>
  <c r="M39" i="5"/>
  <c r="G40" i="5"/>
  <c r="M40" i="5"/>
  <c r="G41" i="5"/>
  <c r="M41" i="5"/>
  <c r="G42" i="5"/>
  <c r="M42" i="5"/>
  <c r="G43" i="5"/>
  <c r="M43" i="5"/>
  <c r="G44" i="5"/>
  <c r="M44" i="5"/>
  <c r="G45" i="5"/>
  <c r="M45" i="5"/>
  <c r="G46" i="5"/>
  <c r="M46" i="5"/>
  <c r="G47" i="5"/>
  <c r="M47" i="5"/>
  <c r="G48" i="5"/>
  <c r="M48" i="5"/>
  <c r="G49" i="5"/>
  <c r="M49" i="5"/>
  <c r="G50" i="5"/>
  <c r="M50" i="5"/>
  <c r="G51" i="5"/>
  <c r="M51" i="5"/>
  <c r="G52" i="5"/>
  <c r="M52" i="5"/>
  <c r="G53" i="5"/>
  <c r="M53" i="5"/>
  <c r="G54" i="5"/>
  <c r="M54" i="5"/>
  <c r="G55" i="5"/>
  <c r="M55" i="5"/>
  <c r="G56" i="5"/>
  <c r="M56" i="5"/>
  <c r="G57" i="5"/>
  <c r="M57" i="5"/>
  <c r="G58" i="5"/>
  <c r="M58" i="5"/>
  <c r="G59" i="5"/>
  <c r="M59" i="5"/>
  <c r="G60" i="5"/>
  <c r="M60" i="5"/>
  <c r="G61" i="5"/>
  <c r="M61" i="5"/>
  <c r="M66" i="5"/>
  <c r="L66" i="5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6" i="5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6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6" i="5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6" i="5"/>
  <c r="D66" i="5"/>
  <c r="M65" i="5"/>
  <c r="L65" i="5"/>
  <c r="K65" i="5"/>
  <c r="J65" i="5"/>
  <c r="I65" i="5"/>
  <c r="H65" i="5"/>
  <c r="B65" i="5"/>
  <c r="M64" i="5"/>
  <c r="L64" i="5"/>
  <c r="K64" i="5"/>
  <c r="J64" i="5"/>
  <c r="I64" i="5"/>
  <c r="H64" i="5"/>
  <c r="B64" i="5"/>
  <c r="M63" i="5"/>
  <c r="L63" i="5"/>
  <c r="K63" i="5"/>
  <c r="J63" i="5"/>
  <c r="I63" i="5"/>
  <c r="H63" i="5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C66" i="24"/>
  <c r="C65" i="24"/>
  <c r="C64" i="24"/>
  <c r="B66" i="24"/>
  <c r="B65" i="24"/>
  <c r="B64" i="24"/>
  <c r="C63" i="24"/>
  <c r="B63" i="24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J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K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L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M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G66" i="8"/>
  <c r="F66" i="8"/>
  <c r="E66" i="8"/>
  <c r="D66" i="8"/>
  <c r="C66" i="8"/>
  <c r="B66" i="8"/>
  <c r="G65" i="8"/>
  <c r="F65" i="8"/>
  <c r="E65" i="8"/>
  <c r="D65" i="8"/>
  <c r="C65" i="8"/>
  <c r="B65" i="8"/>
  <c r="G64" i="8"/>
  <c r="F64" i="8"/>
  <c r="E64" i="8"/>
  <c r="D64" i="8"/>
  <c r="C64" i="8"/>
  <c r="B64" i="8"/>
  <c r="G63" i="8"/>
  <c r="F63" i="8"/>
  <c r="E63" i="8"/>
  <c r="D63" i="8"/>
  <c r="C63" i="8"/>
  <c r="B63" i="8"/>
  <c r="F66" i="7"/>
  <c r="E66" i="7"/>
  <c r="D66" i="7"/>
  <c r="C66" i="7"/>
  <c r="B66" i="7"/>
  <c r="F65" i="7"/>
  <c r="E65" i="7"/>
  <c r="D65" i="7"/>
  <c r="C65" i="7"/>
  <c r="B65" i="7"/>
  <c r="F64" i="7"/>
  <c r="E64" i="7"/>
  <c r="D64" i="7"/>
  <c r="C64" i="7"/>
  <c r="B64" i="7"/>
  <c r="F63" i="7"/>
  <c r="E63" i="7"/>
  <c r="D63" i="7"/>
  <c r="C63" i="7"/>
  <c r="B63" i="7"/>
  <c r="E66" i="6"/>
  <c r="D66" i="6"/>
  <c r="C66" i="6"/>
  <c r="B66" i="6"/>
  <c r="E65" i="6"/>
  <c r="D65" i="6"/>
  <c r="C65" i="6"/>
  <c r="B65" i="6"/>
  <c r="E64" i="6"/>
  <c r="D64" i="6"/>
  <c r="C64" i="6"/>
  <c r="B64" i="6"/>
  <c r="G66" i="5"/>
  <c r="F66" i="5"/>
  <c r="E66" i="5"/>
  <c r="C66" i="5"/>
  <c r="B66" i="5"/>
  <c r="G65" i="5"/>
  <c r="F65" i="5"/>
  <c r="E65" i="5"/>
  <c r="D65" i="5"/>
  <c r="C65" i="5"/>
  <c r="G64" i="5"/>
  <c r="F64" i="5"/>
  <c r="E64" i="5"/>
  <c r="D64" i="5"/>
  <c r="C64" i="5"/>
  <c r="F63" i="5"/>
  <c r="G63" i="5"/>
  <c r="E63" i="5"/>
  <c r="D63" i="5"/>
  <c r="C63" i="5"/>
  <c r="B63" i="5"/>
  <c r="G66" i="4"/>
  <c r="F66" i="4"/>
  <c r="E66" i="4"/>
  <c r="D66" i="4"/>
  <c r="C66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6" i="4"/>
  <c r="G65" i="4"/>
  <c r="F65" i="4"/>
  <c r="E65" i="4"/>
  <c r="D65" i="4"/>
  <c r="C65" i="4"/>
  <c r="B65" i="4"/>
  <c r="G64" i="4"/>
  <c r="F64" i="4"/>
  <c r="E64" i="4"/>
  <c r="D64" i="4"/>
  <c r="C64" i="4"/>
  <c r="B64" i="4"/>
  <c r="G63" i="4"/>
  <c r="F63" i="4"/>
  <c r="E63" i="4"/>
  <c r="D63" i="4"/>
  <c r="C63" i="4"/>
  <c r="B63" i="4"/>
  <c r="E237" i="3" a="1"/>
  <c r="E237" i="3"/>
  <c r="D237" i="3" a="1"/>
  <c r="D237" i="3"/>
  <c r="C237" i="3" a="1"/>
  <c r="C237" i="3"/>
  <c r="B237" i="3" a="1"/>
  <c r="B237" i="3"/>
  <c r="E236" i="3" a="1"/>
  <c r="E236" i="3"/>
  <c r="D236" i="3" a="1"/>
  <c r="D236" i="3"/>
  <c r="C236" i="3" a="1"/>
  <c r="C236" i="3"/>
  <c r="B236" i="3" a="1"/>
  <c r="B236" i="3"/>
  <c r="E235" i="3" a="1"/>
  <c r="E235" i="3"/>
  <c r="D235" i="3" a="1"/>
  <c r="D235" i="3"/>
  <c r="C235" i="3" a="1"/>
  <c r="C235" i="3"/>
  <c r="B235" i="3" a="1"/>
  <c r="B235" i="3"/>
  <c r="E234" i="3" a="1"/>
  <c r="E234" i="3"/>
  <c r="D234" i="3" a="1"/>
  <c r="D234" i="3"/>
  <c r="C234" i="3" a="1"/>
  <c r="C234" i="3"/>
  <c r="B234" i="3" a="1"/>
  <c r="B234" i="3"/>
  <c r="E231" i="3" a="1"/>
  <c r="E231" i="3"/>
  <c r="D231" i="3" a="1"/>
  <c r="D231" i="3"/>
  <c r="C231" i="3" a="1"/>
  <c r="C231" i="3"/>
  <c r="B231" i="3" a="1"/>
  <c r="B231" i="3"/>
  <c r="E230" i="3" a="1"/>
  <c r="E230" i="3"/>
  <c r="D230" i="3" a="1"/>
  <c r="D230" i="3"/>
  <c r="C230" i="3" a="1"/>
  <c r="C230" i="3"/>
  <c r="B230" i="3" a="1"/>
  <c r="B230" i="3"/>
  <c r="E229" i="3" a="1"/>
  <c r="E229" i="3"/>
  <c r="D229" i="3" a="1"/>
  <c r="D229" i="3"/>
  <c r="C229" i="3" a="1"/>
  <c r="C229" i="3"/>
  <c r="B229" i="3" a="1"/>
  <c r="B229" i="3"/>
  <c r="E228" i="3" a="1"/>
  <c r="E228" i="3"/>
  <c r="D228" i="3" a="1"/>
  <c r="D228" i="3"/>
  <c r="C228" i="3" a="1"/>
  <c r="C228" i="3"/>
  <c r="B228" i="3" a="1"/>
  <c r="B228" i="3"/>
  <c r="D225" i="3" a="1"/>
  <c r="D225" i="3"/>
  <c r="B223" i="3" a="1"/>
  <c r="B223" i="3"/>
  <c r="E225" i="3" a="1"/>
  <c r="E225" i="3"/>
  <c r="C225" i="3" a="1"/>
  <c r="C225" i="3"/>
  <c r="B225" i="3" a="1"/>
  <c r="B225" i="3"/>
  <c r="E224" i="3" a="1"/>
  <c r="E224" i="3"/>
  <c r="D224" i="3" a="1"/>
  <c r="D224" i="3"/>
  <c r="C224" i="3" a="1"/>
  <c r="C224" i="3"/>
  <c r="B224" i="3" a="1"/>
  <c r="B224" i="3"/>
  <c r="E223" i="3" a="1"/>
  <c r="E223" i="3"/>
  <c r="D223" i="3" a="1"/>
  <c r="D223" i="3"/>
  <c r="C223" i="3" a="1"/>
  <c r="C223" i="3"/>
  <c r="E222" i="3" a="1"/>
  <c r="E222" i="3"/>
  <c r="D222" i="3" a="1"/>
  <c r="D222" i="3"/>
  <c r="C222" i="3" a="1"/>
  <c r="C222" i="3"/>
  <c r="B222" i="3" a="1"/>
  <c r="B222" i="3"/>
  <c r="B217" i="3" a="1"/>
  <c r="B217" i="3"/>
  <c r="B216" i="3" a="1"/>
  <c r="B216" i="3"/>
  <c r="E219" i="3" a="1"/>
  <c r="E219" i="3"/>
  <c r="D219" i="3" a="1"/>
  <c r="D219" i="3"/>
  <c r="C219" i="3" a="1"/>
  <c r="C219" i="3"/>
  <c r="B219" i="3" a="1"/>
  <c r="B219" i="3"/>
  <c r="E218" i="3" a="1"/>
  <c r="E218" i="3"/>
  <c r="D218" i="3" a="1"/>
  <c r="D218" i="3"/>
  <c r="C218" i="3" a="1"/>
  <c r="C218" i="3"/>
  <c r="B218" i="3" a="1"/>
  <c r="B218" i="3"/>
  <c r="E217" i="3" a="1"/>
  <c r="E217" i="3"/>
  <c r="D217" i="3" a="1"/>
  <c r="D217" i="3"/>
  <c r="C217" i="3" a="1"/>
  <c r="C217" i="3"/>
  <c r="E216" i="3" a="1"/>
  <c r="E216" i="3"/>
  <c r="D216" i="3" a="1"/>
  <c r="D216" i="3"/>
  <c r="C216" i="3" a="1"/>
  <c r="C216" i="3"/>
  <c r="E213" i="3" a="1"/>
  <c r="E213" i="3"/>
  <c r="D213" i="3" a="1"/>
  <c r="D213" i="3"/>
  <c r="C213" i="3" a="1"/>
  <c r="C213" i="3"/>
  <c r="B213" i="3" a="1"/>
  <c r="B213" i="3"/>
  <c r="E212" i="3" a="1"/>
  <c r="E212" i="3"/>
  <c r="D212" i="3" a="1"/>
  <c r="D212" i="3"/>
  <c r="C212" i="3" a="1"/>
  <c r="C212" i="3"/>
  <c r="B212" i="3" a="1"/>
  <c r="B212" i="3"/>
  <c r="E211" i="3" a="1"/>
  <c r="E211" i="3"/>
  <c r="D211" i="3" a="1"/>
  <c r="D211" i="3"/>
  <c r="C211" i="3" a="1"/>
  <c r="C211" i="3"/>
  <c r="B211" i="3" a="1"/>
  <c r="B211" i="3"/>
  <c r="B205" i="3"/>
  <c r="E210" i="3" a="1"/>
  <c r="E210" i="3"/>
  <c r="D210" i="3" a="1"/>
  <c r="D210" i="3"/>
  <c r="C210" i="3" a="1"/>
  <c r="C210" i="3"/>
  <c r="B210" i="3" a="1"/>
  <c r="B210" i="3"/>
  <c r="E207" i="3"/>
  <c r="D207" i="3"/>
  <c r="C207" i="3"/>
  <c r="B207" i="3"/>
  <c r="E206" i="3"/>
  <c r="D206" i="3"/>
  <c r="C206" i="3"/>
  <c r="B206" i="3"/>
  <c r="E205" i="3"/>
  <c r="D205" i="3"/>
  <c r="C205" i="3"/>
  <c r="E204" i="3"/>
  <c r="D204" i="3"/>
  <c r="C204" i="3"/>
  <c r="B204" i="3"/>
  <c r="I45" i="2" a="1"/>
  <c r="I45" i="2"/>
  <c r="I46" i="2" a="1"/>
  <c r="I46" i="2"/>
  <c r="I47" i="2" a="1"/>
  <c r="I47" i="2"/>
  <c r="I48" i="2" a="1"/>
  <c r="I48" i="2"/>
  <c r="I49" i="2" a="1"/>
  <c r="I49" i="2"/>
  <c r="H45" i="2"/>
  <c r="H46" i="2"/>
  <c r="H47" i="2"/>
  <c r="H48" i="2"/>
  <c r="H49" i="2"/>
  <c r="G45" i="2"/>
  <c r="G46" i="2"/>
  <c r="G47" i="2"/>
  <c r="G48" i="2"/>
  <c r="G49" i="2"/>
  <c r="F45" i="2"/>
  <c r="F46" i="2"/>
  <c r="F47" i="2"/>
  <c r="F48" i="2"/>
  <c r="F49" i="2"/>
  <c r="E45" i="2"/>
  <c r="E46" i="2"/>
  <c r="E47" i="2"/>
  <c r="E48" i="2"/>
  <c r="E49" i="2"/>
  <c r="D45" i="2"/>
  <c r="D46" i="2"/>
  <c r="D47" i="2"/>
  <c r="D48" i="2"/>
  <c r="D49" i="2"/>
  <c r="C45" i="2"/>
  <c r="C46" i="2"/>
  <c r="C47" i="2"/>
  <c r="C48" i="2"/>
  <c r="C49" i="2"/>
  <c r="B45" i="2"/>
  <c r="B46" i="2"/>
  <c r="B47" i="2"/>
  <c r="B48" i="2"/>
  <c r="B49" i="2"/>
  <c r="I29" i="2" a="1"/>
  <c r="I29" i="2"/>
  <c r="I21" i="2" a="1"/>
  <c r="I21" i="2"/>
  <c r="I13" i="2" a="1"/>
  <c r="I13" i="2"/>
  <c r="I5" i="2" a="1"/>
  <c r="I5" i="2"/>
  <c r="I39" i="2" a="1"/>
  <c r="I39" i="2"/>
  <c r="I40" i="2" a="1"/>
  <c r="I40" i="2"/>
  <c r="I30" i="2" a="1"/>
  <c r="I30" i="2"/>
  <c r="I31" i="2" a="1"/>
  <c r="I31" i="2"/>
  <c r="I32" i="2" a="1"/>
  <c r="I32" i="2"/>
  <c r="I33" i="2" a="1"/>
  <c r="I33" i="2"/>
  <c r="I22" i="2" a="1"/>
  <c r="I22" i="2"/>
  <c r="I23" i="2" a="1"/>
  <c r="I23" i="2"/>
  <c r="I24" i="2" a="1"/>
  <c r="I24" i="2"/>
  <c r="I25" i="2" a="1"/>
  <c r="I25" i="2"/>
  <c r="I14" i="2" a="1"/>
  <c r="I14" i="2"/>
  <c r="I15" i="2" a="1"/>
  <c r="I15" i="2"/>
  <c r="I16" i="2" a="1"/>
  <c r="I16" i="2"/>
  <c r="I17" i="2" a="1"/>
  <c r="I17" i="2"/>
  <c r="I6" i="2" a="1"/>
  <c r="I6" i="2"/>
  <c r="I7" i="2" a="1"/>
  <c r="I7" i="2"/>
  <c r="I8" i="2" a="1"/>
  <c r="I8" i="2"/>
  <c r="I9" i="2" a="1"/>
  <c r="I9" i="2"/>
  <c r="I55" i="1"/>
  <c r="I56" i="1"/>
  <c r="I57" i="1"/>
  <c r="I58" i="1"/>
  <c r="I59" i="1"/>
  <c r="H59" i="1"/>
  <c r="H58" i="1"/>
  <c r="H57" i="1"/>
  <c r="H56" i="1"/>
  <c r="H55" i="1"/>
  <c r="G55" i="1"/>
  <c r="G56" i="1"/>
  <c r="G57" i="1"/>
  <c r="G58" i="1"/>
  <c r="G59" i="1"/>
  <c r="F55" i="1"/>
  <c r="F56" i="1"/>
  <c r="F57" i="1"/>
  <c r="F58" i="1"/>
  <c r="F59" i="1"/>
  <c r="E55" i="1"/>
  <c r="E56" i="1"/>
  <c r="E57" i="1"/>
  <c r="E58" i="1"/>
  <c r="E59" i="1"/>
  <c r="D55" i="1"/>
  <c r="D56" i="1"/>
  <c r="D57" i="1"/>
  <c r="D58" i="1"/>
  <c r="D59" i="1"/>
  <c r="C59" i="1"/>
  <c r="C58" i="1"/>
  <c r="C57" i="1"/>
  <c r="C56" i="1"/>
  <c r="C55" i="1"/>
  <c r="B59" i="1"/>
  <c r="B58" i="1"/>
  <c r="B57" i="1"/>
  <c r="B56" i="1"/>
  <c r="B55" i="1"/>
  <c r="H47" i="1"/>
  <c r="I47" i="1"/>
  <c r="H48" i="1"/>
  <c r="I48" i="1"/>
  <c r="H49" i="1"/>
  <c r="I49" i="1"/>
  <c r="H35" i="1"/>
  <c r="I35" i="1"/>
  <c r="H36" i="1"/>
  <c r="I36" i="1"/>
  <c r="H37" i="1"/>
  <c r="I37" i="1"/>
  <c r="H38" i="1"/>
  <c r="I38" i="1"/>
  <c r="H39" i="1"/>
  <c r="I39" i="1"/>
  <c r="H25" i="1"/>
  <c r="I25" i="1"/>
  <c r="H26" i="1"/>
  <c r="I26" i="1"/>
  <c r="H27" i="1"/>
  <c r="I27" i="1"/>
  <c r="H28" i="1"/>
  <c r="I28" i="1"/>
  <c r="H29" i="1"/>
  <c r="I29" i="1"/>
  <c r="H19" i="1"/>
  <c r="I19" i="1"/>
  <c r="H15" i="1"/>
  <c r="I15" i="1"/>
  <c r="H16" i="1"/>
  <c r="I16" i="1"/>
  <c r="H17" i="1"/>
  <c r="I17" i="1"/>
  <c r="H18" i="1"/>
  <c r="I18" i="1"/>
  <c r="H5" i="1"/>
  <c r="I5" i="1"/>
  <c r="H6" i="1"/>
  <c r="I6" i="1"/>
  <c r="H7" i="1"/>
  <c r="I7" i="1"/>
  <c r="H8" i="1"/>
  <c r="I8" i="1"/>
  <c r="H9" i="1"/>
  <c r="I9" i="1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H5" i="2"/>
  <c r="H6" i="2"/>
  <c r="H7" i="2"/>
  <c r="H8" i="2"/>
  <c r="H9" i="2"/>
  <c r="H13" i="2"/>
  <c r="H14" i="2"/>
  <c r="H15" i="2"/>
  <c r="H16" i="2"/>
  <c r="H17" i="2"/>
  <c r="H21" i="2"/>
  <c r="H22" i="2"/>
  <c r="H23" i="2"/>
  <c r="H24" i="2"/>
  <c r="H25" i="2"/>
  <c r="H29" i="2"/>
  <c r="H30" i="2"/>
  <c r="H31" i="2"/>
  <c r="H32" i="2"/>
  <c r="H33" i="2"/>
  <c r="H39" i="2"/>
  <c r="H40" i="2"/>
  <c r="H4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<sst xmlns="http://schemas.openxmlformats.org/spreadsheetml/2006/main" count="609" uniqueCount="84">
  <si>
    <t xml:space="preserve">Dealer Satisfaction </t>
  </si>
  <si>
    <t>North America</t>
  </si>
  <si>
    <t>Year</t>
  </si>
  <si>
    <t>0</t>
  </si>
  <si>
    <t>1</t>
  </si>
  <si>
    <t>2</t>
  </si>
  <si>
    <t>3</t>
  </si>
  <si>
    <t>4</t>
  </si>
  <si>
    <t>5</t>
  </si>
  <si>
    <t>Samples</t>
  </si>
  <si>
    <t>Mean</t>
  </si>
  <si>
    <t>South America</t>
  </si>
  <si>
    <t xml:space="preserve"> </t>
  </si>
  <si>
    <t>Europe</t>
  </si>
  <si>
    <t>Pacific Rim</t>
  </si>
  <si>
    <t>China</t>
  </si>
  <si>
    <t>Overall</t>
  </si>
  <si>
    <t>End-User Satisfaction</t>
  </si>
  <si>
    <t>Region</t>
  </si>
  <si>
    <t>Quality</t>
  </si>
  <si>
    <t>Ease of Use</t>
  </si>
  <si>
    <t>Price</t>
  </si>
  <si>
    <t>Service</t>
  </si>
  <si>
    <t>NA</t>
  </si>
  <si>
    <t>SA</t>
  </si>
  <si>
    <t>Eur</t>
  </si>
  <si>
    <t>Pac</t>
  </si>
  <si>
    <t>Median</t>
  </si>
  <si>
    <t>Mode</t>
  </si>
  <si>
    <t>Std Dev</t>
  </si>
  <si>
    <t>Month</t>
  </si>
  <si>
    <t>World</t>
  </si>
  <si>
    <t>NA Market Share</t>
  </si>
  <si>
    <t>SA Market Share</t>
  </si>
  <si>
    <t>Europe Market Share</t>
  </si>
  <si>
    <t>Pacific</t>
  </si>
  <si>
    <t>Pacific Market Share</t>
  </si>
  <si>
    <t>China Market Share</t>
  </si>
  <si>
    <t>World Market Share</t>
  </si>
  <si>
    <t>Std. Dev</t>
  </si>
  <si>
    <t>Eur Market Share</t>
  </si>
  <si>
    <t>Pac Market Share</t>
  </si>
  <si>
    <t>t-Test: Paired Two Sample for Means</t>
  </si>
  <si>
    <t>Anova: Single Factor</t>
  </si>
  <si>
    <t>Market Share</t>
  </si>
  <si>
    <t>SUMMARY</t>
  </si>
  <si>
    <t>Groups</t>
  </si>
  <si>
    <t>Count</t>
  </si>
  <si>
    <t>Sum</t>
  </si>
  <si>
    <t>Average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</si>
  <si>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</si>
  <si>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</si>
  <si>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</si>
  <si>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</si>
  <si>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</si>
  <si>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</si>
  <si>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</si>
  <si>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</si>
  <si>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ANOVA</t>
  </si>
  <si>
    <t>P(T&lt;=t) two-tail</t>
  </si>
  <si>
    <t>Source of Variation</t>
  </si>
  <si>
    <t>SS</t>
  </si>
  <si>
    <t>MS</t>
  </si>
  <si>
    <t>F</t>
  </si>
  <si>
    <t>P-value</t>
  </si>
  <si>
    <t>F crit</t>
  </si>
  <si>
    <t>t Critical two-tail</t>
  </si>
  <si>
    <t>Between Groups</t>
  </si>
  <si>
    <t>Within Groups</t>
  </si>
  <si>
    <t>Total</t>
  </si>
  <si>
    <t>Tractor</t>
  </si>
  <si>
    <t>Mower</t>
  </si>
  <si>
    <t>Complaints of Sales</t>
  </si>
  <si>
    <t>Complaints</t>
  </si>
  <si>
    <t>Mowers</t>
  </si>
  <si>
    <t>Tractors</t>
  </si>
  <si>
    <t>Complaints/M</t>
  </si>
  <si>
    <t>Complaints/T</t>
  </si>
  <si>
    <t>Complaints / Mower</t>
  </si>
  <si>
    <t>Complaints / Tractor</t>
  </si>
  <si>
    <t>Mowers ('C)</t>
  </si>
  <si>
    <t>Mowers (W)</t>
  </si>
  <si>
    <t>Tractors ('C)</t>
  </si>
  <si>
    <t>Tractors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</si>
</sst>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00000000000"/>
    <numFmt numFmtId="166" formatCode="0.0000000000"/>
    <numFmt numFmtId="167" formatCode="mm/dd/yy;@"/>
  </numFmts>
  <fonts count="1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i/>
      <sz val="10"/>
      <color rgb="FFFF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1">
    <xf numFmtId="0" fontId="0" fillId="0" borderId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14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64" fontId="0" fillId="0" borderId="0" xfId="2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8" fillId="0" borderId="3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5" fillId="0" borderId="0" xfId="0" applyFont="1"/>
    <xf numFmtId="0" fontId="9" fillId="0" borderId="0" xfId="0" applyFont="1" applyAlignment="1">
      <alignment horizontal="center"/>
    </xf>
    <xf numFmtId="165" fontId="0" fillId="0" borderId="0" xfId="0" applyNumberFormat="1" applyFill="1" applyBorder="1" applyAlignment="1"/>
    <xf numFmtId="165" fontId="10" fillId="0" borderId="0" xfId="0" applyNumberFormat="1" applyFont="1" applyFill="1" applyBorder="1" applyAlignment="1"/>
    <xf numFmtId="1" fontId="0" fillId="0" borderId="0" xfId="0" applyNumberFormat="1" applyFill="1" applyBorder="1" applyAlignment="1"/>
    <xf numFmtId="0" fontId="2" fillId="0" borderId="0" xfId="0" applyFont="1" applyFill="1" applyBorder="1" applyAlignment="1"/>
    <xf numFmtId="0" fontId="11" fillId="0" borderId="0" xfId="0" applyFont="1" applyFill="1" applyBorder="1" applyAlignment="1"/>
    <xf numFmtId="3" fontId="0" fillId="0" borderId="0" xfId="0" applyNumberFormat="1" applyFill="1" applyBorder="1" applyAlignment="1"/>
    <xf numFmtId="10" fontId="0" fillId="0" borderId="0" xfId="0" applyNumberFormat="1"/>
    <xf numFmtId="0" fontId="1" fillId="0" borderId="0" xfId="0" applyFont="1"/>
    <xf numFmtId="14" fontId="2" fillId="0" borderId="0" xfId="0" applyNumberFormat="1" applyFont="1"/>
    <xf numFmtId="167" fontId="2" fillId="0" borderId="0" xfId="0" applyNumberFormat="1" applyFont="1"/>
    <xf numFmtId="1" fontId="2" fillId="0" borderId="0" xfId="0" applyNumberFormat="1" applyFont="1" applyFill="1" applyBorder="1" applyAlignment="1"/>
    <xf numFmtId="166" fontId="10" fillId="0" borderId="0" xfId="0" applyNumberFormat="1" applyFont="1" applyFill="1" applyBorder="1" applyAlignment="1"/>
    <xf numFmtId="0" fontId="0" fillId="0" borderId="0" xfId="0" applyBorder="1"/>
    <xf numFmtId="0" fontId="8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3" fillId="0" borderId="0" xfId="0" applyFont="1" applyBorder="1"/>
    <xf numFmtId="0" fontId="3" fillId="0" borderId="0" xfId="0" applyFont="1" applyFill="1" applyBorder="1" applyAlignment="1">
      <alignment horizontal="center"/>
    </xf>
    <xf numFmtId="1" fontId="0" fillId="0" borderId="0" xfId="0" applyNumberFormat="1" applyBorder="1"/>
    <xf numFmtId="0" fontId="2" fillId="0" borderId="0" xfId="0" applyFont="1" applyBorder="1" applyAlignment="1">
      <alignment horizontal="right"/>
    </xf>
    <xf numFmtId="2" fontId="3" fillId="0" borderId="0" xfId="0" applyNumberFormat="1" applyFont="1"/>
    <xf numFmtId="2" fontId="5" fillId="0" borderId="0" xfId="0" applyNumberFormat="1" applyFont="1"/>
    <xf numFmtId="0" fontId="12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  <xf numFmtId="11" fontId="0" fillId="0" borderId="0" xfId="0" applyNumberFormat="1" applyFill="1" applyBorder="1" applyAlignment="1"/>
    <xf numFmtId="11" fontId="0" fillId="0" borderId="2" xfId="0" applyNumberFormat="1" applyFill="1" applyBorder="1" applyAlignment="1"/>
    <xf numFmtId="167" fontId="2" fillId="0" borderId="1" xfId="0" applyNumberFormat="1" applyFont="1" applyBorder="1" applyAlignment="1">
      <alignment horizontal="center" vertical="center" wrapText="1"/>
    </xf>
    <xf numFmtId="10" fontId="2" fillId="0" borderId="1" xfId="30" applyNumberFormat="1" applyFont="1" applyBorder="1" applyAlignment="1">
      <alignment horizontal="center" vertical="center" wrapText="1"/>
    </xf>
    <xf numFmtId="10" fontId="0" fillId="0" borderId="0" xfId="30" applyNumberFormat="1" applyFont="1"/>
    <xf numFmtId="2" fontId="0" fillId="0" borderId="0" xfId="30" applyNumberFormat="1" applyFont="1"/>
    <xf numFmtId="14" fontId="0" fillId="0" borderId="0" xfId="0" applyNumberFormat="1"/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0" fontId="1" fillId="0" borderId="0" xfId="30" applyNumberFormat="1" applyFont="1" applyAlignment="1">
      <alignment horizontal="center" vertical="center" wrapText="1"/>
    </xf>
  </cellXfs>
  <cellStyles count="31">
    <cellStyle name="Comma 2" xfId="1" xr:uid="{00000000-0005-0000-0000-000000000000}"/>
    <cellStyle name="Currency" xfId="2" builtinId="4"/>
    <cellStyle name="Currency 2" xfId="3" xr:uid="{00000000-0005-0000-0000-000002000000}"/>
    <cellStyle name="Followed Hyperlink" xfId="7" builtinId="9" hidden="1"/>
    <cellStyle name="Followed Hyperlink" xfId="25" builtinId="9" hidden="1"/>
    <cellStyle name="Followed Hyperlink" xfId="27" builtinId="9" hidden="1"/>
    <cellStyle name="Followed Hyperlink" xfId="15" builtinId="9" hidden="1"/>
    <cellStyle name="Followed Hyperlink" xfId="11" builtinId="9" hidden="1"/>
    <cellStyle name="Followed Hyperlink" xfId="13" builtinId="9" hidden="1"/>
    <cellStyle name="Followed Hyperlink" xfId="9" builtinId="9" hidden="1"/>
    <cellStyle name="Followed Hyperlink" xfId="23" builtinId="9" hidden="1"/>
    <cellStyle name="Followed Hyperlink" xfId="19" builtinId="9" hidden="1"/>
    <cellStyle name="Followed Hyperlink" xfId="21" builtinId="9" hidden="1"/>
    <cellStyle name="Followed Hyperlink" xfId="17" builtinId="9" hidden="1"/>
    <cellStyle name="Followed Hyperlink" xfId="29" builtinId="9" hidden="1"/>
    <cellStyle name="Hyperlink" xfId="16" builtinId="8" hidden="1"/>
    <cellStyle name="Hyperlink" xfId="18" builtinId="8" hidden="1"/>
    <cellStyle name="Hyperlink" xfId="8" builtinId="8" hidden="1"/>
    <cellStyle name="Hyperlink" xfId="6" builtinId="8" hidden="1"/>
    <cellStyle name="Hyperlink" xfId="10" builtinId="8" hidden="1"/>
    <cellStyle name="Hyperlink" xfId="28" builtinId="8" hidden="1"/>
    <cellStyle name="Hyperlink" xfId="26" builtinId="8" hidden="1"/>
    <cellStyle name="Hyperlink" xfId="12" builtinId="8" hidden="1"/>
    <cellStyle name="Hyperlink" xfId="14" builtinId="8" hidden="1"/>
    <cellStyle name="Hyperlink" xfId="22" builtinId="8" hidden="1"/>
    <cellStyle name="Hyperlink" xfId="24" builtinId="8" hidden="1"/>
    <cellStyle name="Hyperlink" xfId="20" builtinId="8" hidden="1"/>
    <cellStyle name="Normal" xfId="0" builtinId="0"/>
    <cellStyle name="Normal 2" xfId="4" xr:uid="{00000000-0005-0000-0000-00001C000000}"/>
    <cellStyle name="Normal 3" xfId="5" xr:uid="{00000000-0005-0000-0000-00001D000000}"/>
    <cellStyle name="Percent" xfId="30" builtinId="5"/>
  </cellStyles>
  <dxfs count="8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m/d/yyyy"/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m/d/yyyy"/>
    </dxf>
    <dxf>
      <border outline="0"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</dxf>
    <dxf>
      <border outline="0"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m/d/yyyy"/>
    </dxf>
    <dxf>
      <border outline="0"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m/d/yyyy"/>
    </dxf>
    <dxf>
      <border outline="0"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numFmt numFmtId="14" formatCode="0.00%"/>
    </dxf>
    <dxf>
      <numFmt numFmtId="0" formatCode="General"/>
    </dxf>
    <dxf>
      <border outline="0"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mm/dd/yy;@"/>
    </dxf>
    <dxf>
      <border outline="0">
        <bottom style="double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border outline="0"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</a:t>
            </a:r>
            <a:r>
              <a:rPr lang="en-US" baseline="0"/>
              <a:t> Dealer Satisfaction by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' Dealer Satisfaction'!$B$4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 Dealer Satisfaction'!$A$5:$A$9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Satisfaction'!$B$5:$B$9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33-4411-B3EA-50B431BB1C98}"/>
            </c:ext>
          </c:extLst>
        </c:ser>
        <c:ser>
          <c:idx val="2"/>
          <c:order val="1"/>
          <c:tx>
            <c:strRef>
              <c:f>' Dealer Satisfaction'!$C$4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 Dealer Satisfaction'!$A$5:$A$9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Satisfaction'!$C$5:$C$9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33-4411-B3EA-50B431BB1C98}"/>
            </c:ext>
          </c:extLst>
        </c:ser>
        <c:ser>
          <c:idx val="3"/>
          <c:order val="2"/>
          <c:tx>
            <c:strRef>
              <c:f>' Dealer Satisfaction'!$D$4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 Dealer Satisfaction'!$A$5:$A$9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Satisfaction'!$D$5:$D$9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6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33-4411-B3EA-50B431BB1C98}"/>
            </c:ext>
          </c:extLst>
        </c:ser>
        <c:ser>
          <c:idx val="4"/>
          <c:order val="3"/>
          <c:tx>
            <c:strRef>
              <c:f>' Dealer Satisfaction'!$E$4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 Dealer Satisfaction'!$A$5:$A$9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Satisfaction'!$E$5:$E$9</c:f>
              <c:numCache>
                <c:formatCode>General</c:formatCode>
                <c:ptCount val="5"/>
                <c:pt idx="0">
                  <c:v>14</c:v>
                </c:pt>
                <c:pt idx="1">
                  <c:v>14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33-4411-B3EA-50B431BB1C98}"/>
            </c:ext>
          </c:extLst>
        </c:ser>
        <c:ser>
          <c:idx val="5"/>
          <c:order val="4"/>
          <c:tx>
            <c:strRef>
              <c:f>' Dealer Satisfaction'!$F$4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 Dealer Satisfaction'!$A$5:$A$9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Satisfaction'!$F$5:$F$9</c:f>
              <c:numCache>
                <c:formatCode>General</c:formatCode>
                <c:ptCount val="5"/>
                <c:pt idx="0">
                  <c:v>22</c:v>
                </c:pt>
                <c:pt idx="1">
                  <c:v>20</c:v>
                </c:pt>
                <c:pt idx="2">
                  <c:v>34</c:v>
                </c:pt>
                <c:pt idx="3">
                  <c:v>34</c:v>
                </c:pt>
                <c:pt idx="4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33-4411-B3EA-50B431BB1C98}"/>
            </c:ext>
          </c:extLst>
        </c:ser>
        <c:ser>
          <c:idx val="0"/>
          <c:order val="5"/>
          <c:tx>
            <c:strRef>
              <c:f>' Dealer Satisfaction'!$G$4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 Dealer Satisfaction'!$A$5:$A$9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Satisfaction'!$G$5:$G$9</c:f>
              <c:numCache>
                <c:formatCode>General</c:formatCode>
                <c:ptCount val="5"/>
                <c:pt idx="0">
                  <c:v>11</c:v>
                </c:pt>
                <c:pt idx="1">
                  <c:v>14</c:v>
                </c:pt>
                <c:pt idx="2">
                  <c:v>15</c:v>
                </c:pt>
                <c:pt idx="3">
                  <c:v>45</c:v>
                </c:pt>
                <c:pt idx="4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B33-4411-B3EA-50B431BB1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5535472"/>
        <c:axId val="1195537552"/>
      </c:barChart>
      <c:catAx>
        <c:axId val="1195535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537552"/>
        <c:crosses val="autoZero"/>
        <c:auto val="1"/>
        <c:lblAlgn val="ctr"/>
        <c:lblOffset val="100"/>
        <c:noMultiLvlLbl val="0"/>
      </c:catAx>
      <c:valAx>
        <c:axId val="119553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53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</a:t>
            </a:r>
            <a:r>
              <a:rPr lang="en-US" baseline="0"/>
              <a:t> Dealer Satisfaction by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' Dealer Satisfaction'!$B$14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 Dealer Satisfaction'!$A$15:$A$19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Satisfaction'!$B$15:$B$19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D8-422E-9776-A01671C8BACE}"/>
            </c:ext>
          </c:extLst>
        </c:ser>
        <c:ser>
          <c:idx val="2"/>
          <c:order val="1"/>
          <c:tx>
            <c:strRef>
              <c:f>' Dealer Satisfaction'!$C$14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 Dealer Satisfaction'!$A$15:$A$19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Satisfaction'!$C$15:$C$19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D8-422E-9776-A01671C8BACE}"/>
            </c:ext>
          </c:extLst>
        </c:ser>
        <c:ser>
          <c:idx val="3"/>
          <c:order val="2"/>
          <c:tx>
            <c:strRef>
              <c:f>' Dealer Satisfaction'!$D$14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 Dealer Satisfaction'!$A$15:$A$19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Satisfaction'!$D$15:$D$19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D8-422E-9776-A01671C8BACE}"/>
            </c:ext>
          </c:extLst>
        </c:ser>
        <c:ser>
          <c:idx val="4"/>
          <c:order val="3"/>
          <c:tx>
            <c:strRef>
              <c:f>' Dealer Satisfaction'!$E$14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 Dealer Satisfaction'!$A$15:$A$19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Satisfaction'!$E$15:$E$19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D8-422E-9776-A01671C8BACE}"/>
            </c:ext>
          </c:extLst>
        </c:ser>
        <c:ser>
          <c:idx val="5"/>
          <c:order val="4"/>
          <c:tx>
            <c:strRef>
              <c:f>' Dealer Satisfaction'!$F$14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 Dealer Satisfaction'!$A$15:$A$19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Satisfaction'!$F$15:$F$19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11</c:v>
                </c:pt>
                <c:pt idx="3">
                  <c:v>12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D8-422E-9776-A01671C8BACE}"/>
            </c:ext>
          </c:extLst>
        </c:ser>
        <c:ser>
          <c:idx val="0"/>
          <c:order val="5"/>
          <c:tx>
            <c:strRef>
              <c:f>' Dealer Satisfaction'!$G$14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 Dealer Satisfaction'!$A$15:$A$19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Satisfaction'!$G$15:$G$19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14</c:v>
                </c:pt>
                <c:pt idx="3">
                  <c:v>33</c:v>
                </c:pt>
                <c:pt idx="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4D8-422E-9776-A01671C8B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5535472"/>
        <c:axId val="1195537552"/>
      </c:barChart>
      <c:catAx>
        <c:axId val="1195535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537552"/>
        <c:crosses val="autoZero"/>
        <c:auto val="1"/>
        <c:lblAlgn val="ctr"/>
        <c:lblOffset val="100"/>
        <c:noMultiLvlLbl val="0"/>
      </c:catAx>
      <c:valAx>
        <c:axId val="119553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53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Europe</a:t>
            </a:r>
            <a:r>
              <a:rPr lang="en-US" baseline="0"/>
              <a:t> Dealer Satisfaction by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' Dealer Satisfaction'!$B$24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 Dealer Satisfaction'!$A$25:$A$29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Satisfaction'!$B$25:$B$29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2B-4BE5-999D-AEE3FC31E44D}"/>
            </c:ext>
          </c:extLst>
        </c:ser>
        <c:ser>
          <c:idx val="2"/>
          <c:order val="1"/>
          <c:tx>
            <c:strRef>
              <c:f>' Dealer Satisfaction'!$C$24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 Dealer Satisfaction'!$A$25:$A$29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Satisfaction'!$C$25:$C$29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2B-4BE5-999D-AEE3FC31E44D}"/>
            </c:ext>
          </c:extLst>
        </c:ser>
        <c:ser>
          <c:idx val="3"/>
          <c:order val="2"/>
          <c:tx>
            <c:strRef>
              <c:f>' Dealer Satisfaction'!$D$24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 Dealer Satisfaction'!$A$25:$A$29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Satisfaction'!$D$25:$D$29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2B-4BE5-999D-AEE3FC31E44D}"/>
            </c:ext>
          </c:extLst>
        </c:ser>
        <c:ser>
          <c:idx val="4"/>
          <c:order val="3"/>
          <c:tx>
            <c:strRef>
              <c:f>' Dealer Satisfaction'!$E$24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 Dealer Satisfaction'!$A$25:$A$29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Satisfaction'!$E$25:$E$29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2B-4BE5-999D-AEE3FC31E44D}"/>
            </c:ext>
          </c:extLst>
        </c:ser>
        <c:ser>
          <c:idx val="5"/>
          <c:order val="4"/>
          <c:tx>
            <c:strRef>
              <c:f>' Dealer Satisfaction'!$F$24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 Dealer Satisfaction'!$A$25:$A$29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Satisfaction'!$F$25:$F$29</c:f>
              <c:numCache>
                <c:formatCode>General</c:formatCode>
                <c:ptCount val="5"/>
                <c:pt idx="0">
                  <c:v>7</c:v>
                </c:pt>
                <c:pt idx="1">
                  <c:v>8</c:v>
                </c:pt>
                <c:pt idx="2">
                  <c:v>15</c:v>
                </c:pt>
                <c:pt idx="3">
                  <c:v>21</c:v>
                </c:pt>
                <c:pt idx="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2B-4BE5-999D-AEE3FC31E44D}"/>
            </c:ext>
          </c:extLst>
        </c:ser>
        <c:ser>
          <c:idx val="0"/>
          <c:order val="5"/>
          <c:tx>
            <c:strRef>
              <c:f>' Dealer Satisfaction'!$G$24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 Dealer Satisfaction'!$A$25:$A$29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Satisfaction'!$G$25:$G$29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6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B2B-4BE5-999D-AEE3FC31E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5535472"/>
        <c:axId val="1195537552"/>
      </c:barChart>
      <c:catAx>
        <c:axId val="1195535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537552"/>
        <c:crosses val="autoZero"/>
        <c:auto val="1"/>
        <c:lblAlgn val="ctr"/>
        <c:lblOffset val="100"/>
        <c:noMultiLvlLbl val="0"/>
      </c:catAx>
      <c:valAx>
        <c:axId val="119553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53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Pacific</a:t>
            </a:r>
            <a:r>
              <a:rPr lang="en-US" baseline="0"/>
              <a:t> Dealer Satisfaction by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' Dealer Satisfaction'!$B$34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 Dealer Satisfaction'!$A$35:$A$39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Satisfaction'!$B$35:$B$39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95-4F96-85D7-92F22EBB71D1}"/>
            </c:ext>
          </c:extLst>
        </c:ser>
        <c:ser>
          <c:idx val="2"/>
          <c:order val="1"/>
          <c:tx>
            <c:strRef>
              <c:f>' Dealer Satisfaction'!$C$34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 Dealer Satisfaction'!$A$35:$A$39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Satisfaction'!$C$35:$C$39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95-4F96-85D7-92F22EBB71D1}"/>
            </c:ext>
          </c:extLst>
        </c:ser>
        <c:ser>
          <c:idx val="3"/>
          <c:order val="2"/>
          <c:tx>
            <c:strRef>
              <c:f>' Dealer Satisfaction'!$D$34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 Dealer Satisfaction'!$A$35:$A$39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Satisfaction'!$D$35:$D$39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95-4F96-85D7-92F22EBB71D1}"/>
            </c:ext>
          </c:extLst>
        </c:ser>
        <c:ser>
          <c:idx val="4"/>
          <c:order val="3"/>
          <c:tx>
            <c:strRef>
              <c:f>' Dealer Satisfaction'!$E$34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 Dealer Satisfaction'!$A$35:$A$39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Satisfaction'!$E$35:$E$39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95-4F96-85D7-92F22EBB71D1}"/>
            </c:ext>
          </c:extLst>
        </c:ser>
        <c:ser>
          <c:idx val="5"/>
          <c:order val="4"/>
          <c:tx>
            <c:strRef>
              <c:f>' Dealer Satisfaction'!$F$34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 Dealer Satisfaction'!$A$35:$A$39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Satisfaction'!$F$35:$F$39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95-4F96-85D7-92F22EBB71D1}"/>
            </c:ext>
          </c:extLst>
        </c:ser>
        <c:ser>
          <c:idx val="0"/>
          <c:order val="5"/>
          <c:tx>
            <c:strRef>
              <c:f>' Dealer Satisfaction'!$G$34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 Dealer Satisfaction'!$A$35:$A$39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Satisfaction'!$G$35:$G$39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95-4F96-85D7-92F22EBB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5535472"/>
        <c:axId val="1195537552"/>
      </c:barChart>
      <c:catAx>
        <c:axId val="1195535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537552"/>
        <c:crosses val="autoZero"/>
        <c:auto val="1"/>
        <c:lblAlgn val="ctr"/>
        <c:lblOffset val="100"/>
        <c:noMultiLvlLbl val="0"/>
      </c:catAx>
      <c:valAx>
        <c:axId val="119553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53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China</a:t>
            </a:r>
            <a:r>
              <a:rPr lang="en-US" baseline="0"/>
              <a:t> Dealer Satisfaction by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' Dealer Satisfaction'!$B$44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 Dealer Satisfaction'!$A$45:$A$49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Satisfaction'!$B$45:$B$49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D-49E5-ABE3-58B4695E988D}"/>
            </c:ext>
          </c:extLst>
        </c:ser>
        <c:ser>
          <c:idx val="2"/>
          <c:order val="1"/>
          <c:tx>
            <c:strRef>
              <c:f>' Dealer Satisfaction'!$C$44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 Dealer Satisfaction'!$A$45:$A$49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Satisfaction'!$C$45:$C$49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9D-49E5-ABE3-58B4695E988D}"/>
            </c:ext>
          </c:extLst>
        </c:ser>
        <c:ser>
          <c:idx val="3"/>
          <c:order val="2"/>
          <c:tx>
            <c:strRef>
              <c:f>' Dealer Satisfaction'!$D$44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 Dealer Satisfaction'!$A$45:$A$49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Satisfaction'!$D$45:$D$49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9D-49E5-ABE3-58B4695E988D}"/>
            </c:ext>
          </c:extLst>
        </c:ser>
        <c:ser>
          <c:idx val="4"/>
          <c:order val="3"/>
          <c:tx>
            <c:strRef>
              <c:f>' Dealer Satisfaction'!$E$44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 Dealer Satisfaction'!$A$45:$A$49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Satisfaction'!$E$45:$E$49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9D-49E5-ABE3-58B4695E988D}"/>
            </c:ext>
          </c:extLst>
        </c:ser>
        <c:ser>
          <c:idx val="5"/>
          <c:order val="4"/>
          <c:tx>
            <c:strRef>
              <c:f>' Dealer Satisfaction'!$F$44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 Dealer Satisfaction'!$A$45:$A$49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Satisfaction'!$F$45:$F$49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9D-49E5-ABE3-58B4695E988D}"/>
            </c:ext>
          </c:extLst>
        </c:ser>
        <c:ser>
          <c:idx val="0"/>
          <c:order val="5"/>
          <c:tx>
            <c:strRef>
              <c:f>' Dealer Satisfaction'!$G$44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 Dealer Satisfaction'!$A$45:$A$49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Satisfaction'!$G$45:$G$49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9D-49E5-ABE3-58B4695E9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5535472"/>
        <c:axId val="1195537552"/>
      </c:barChart>
      <c:catAx>
        <c:axId val="1195535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537552"/>
        <c:crosses val="autoZero"/>
        <c:auto val="1"/>
        <c:lblAlgn val="ctr"/>
        <c:lblOffset val="100"/>
        <c:noMultiLvlLbl val="0"/>
      </c:catAx>
      <c:valAx>
        <c:axId val="119553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53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Dealer Satisfaction over</a:t>
            </a:r>
            <a:r>
              <a:rPr lang="en-US" baseline="0"/>
              <a:t> Time by Region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Dealer Satisfaction'!$A$3</c:f>
              <c:strCache>
                <c:ptCount val="1"/>
                <c:pt idx="0">
                  <c:v>North America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 Dealer Satisfaction'!$A$5:$A$9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 Dealer Satisfaction'!$I$5:$I$9</c:f>
              <c:numCache>
                <c:formatCode>0.00</c:formatCode>
                <c:ptCount val="5"/>
                <c:pt idx="0">
                  <c:v>3.78</c:v>
                </c:pt>
                <c:pt idx="1">
                  <c:v>3.92</c:v>
                </c:pt>
                <c:pt idx="2">
                  <c:v>3.9666666666666668</c:v>
                </c:pt>
                <c:pt idx="3">
                  <c:v>4.1100000000000003</c:v>
                </c:pt>
                <c:pt idx="4">
                  <c:v>4.1120000000000001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DF-4DDA-B9C6-8B54A4290EDD}"/>
            </c:ext>
          </c:extLst>
        </c:ser>
        <c:ser>
          <c:idx val="1"/>
          <c:order val="1"/>
          <c:tx>
            <c:strRef>
              <c:f>' Dealer Satisfaction'!$A$13</c:f>
              <c:strCache>
                <c:ptCount val="1"/>
                <c:pt idx="0">
                  <c:v>South America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 Dealer Satisfaction'!$I$15:$I$19</c:f>
              <c:numCache>
                <c:formatCode>0.00</c:formatCode>
                <c:ptCount val="5"/>
                <c:pt idx="0">
                  <c:v>4</c:v>
                </c:pt>
                <c:pt idx="1">
                  <c:v>4</c:v>
                </c:pt>
                <c:pt idx="2">
                  <c:v>4.2666666666666666</c:v>
                </c:pt>
                <c:pt idx="3">
                  <c:v>4.5</c:v>
                </c:pt>
                <c:pt idx="4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DF-4DDA-B9C6-8B54A4290EDD}"/>
            </c:ext>
          </c:extLst>
        </c:ser>
        <c:ser>
          <c:idx val="2"/>
          <c:order val="2"/>
          <c:tx>
            <c:strRef>
              <c:f>' Dealer Satisfaction'!$A$23</c:f>
              <c:strCache>
                <c:ptCount val="1"/>
                <c:pt idx="0">
                  <c:v>Europe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 Dealer Satisfaction'!$I$25:$I$29</c:f>
              <c:numCache>
                <c:formatCode>0.00</c:formatCode>
                <c:ptCount val="5"/>
                <c:pt idx="0">
                  <c:v>3.9333333333333331</c:v>
                </c:pt>
                <c:pt idx="1">
                  <c:v>4</c:v>
                </c:pt>
                <c:pt idx="2">
                  <c:v>4.12</c:v>
                </c:pt>
                <c:pt idx="3">
                  <c:v>4.0666666666666664</c:v>
                </c:pt>
                <c:pt idx="4">
                  <c:v>4.0666666666666664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DF-4DDA-B9C6-8B54A4290EDD}"/>
            </c:ext>
          </c:extLst>
        </c:ser>
        <c:ser>
          <c:idx val="3"/>
          <c:order val="3"/>
          <c:tx>
            <c:strRef>
              <c:f>' Dealer Satisfaction'!$A$33</c:f>
              <c:strCache>
                <c:ptCount val="1"/>
                <c:pt idx="0">
                  <c:v>Pacific Rim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 Dealer Satisfaction'!$I$35:$I$39</c:f>
              <c:numCache>
                <c:formatCode>0.00</c:formatCode>
                <c:ptCount val="5"/>
                <c:pt idx="0">
                  <c:v>3.2</c:v>
                </c:pt>
                <c:pt idx="1">
                  <c:v>3.4</c:v>
                </c:pt>
                <c:pt idx="2">
                  <c:v>3.6666666666666665</c:v>
                </c:pt>
                <c:pt idx="3">
                  <c:v>4.0999999999999996</c:v>
                </c:pt>
                <c:pt idx="4">
                  <c:v>3.8333333333333335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DF-4DDA-B9C6-8B54A4290EDD}"/>
            </c:ext>
          </c:extLst>
        </c:ser>
        <c:ser>
          <c:idx val="4"/>
          <c:order val="4"/>
          <c:tx>
            <c:strRef>
              <c:f>' Dealer Satisfaction'!$A$43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alpha val="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74DF-4DDA-B9C6-8B54A4290EDD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alpha val="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4DF-4DDA-B9C6-8B54A4290EDD}"/>
              </c:ext>
            </c:extLst>
          </c:dPt>
          <c:val>
            <c:numRef>
              <c:f>' Dealer Satisfaction'!$I$45:$I$49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3.1428571428571428</c:v>
                </c:pt>
                <c:pt idx="4">
                  <c:v>3.6875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DF-4DDA-B9C6-8B54A4290EDD}"/>
            </c:ext>
          </c:extLst>
        </c:ser>
        <c:ser>
          <c:idx val="5"/>
          <c:order val="5"/>
          <c:tx>
            <c:strRef>
              <c:f>' Dealer Satisfaction'!$A$53</c:f>
              <c:strCache>
                <c:ptCount val="1"/>
                <c:pt idx="0">
                  <c:v>Overall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 Dealer Satisfaction'!$I$55:$I$59</c:f>
              <c:numCache>
                <c:formatCode>0.00</c:formatCode>
                <c:ptCount val="5"/>
                <c:pt idx="0">
                  <c:v>3.8</c:v>
                </c:pt>
                <c:pt idx="1">
                  <c:v>3.9125000000000001</c:v>
                </c:pt>
                <c:pt idx="2">
                  <c:v>4.0491803278688527</c:v>
                </c:pt>
                <c:pt idx="3">
                  <c:v>4.1675126903553297</c:v>
                </c:pt>
                <c:pt idx="4">
                  <c:v>4.197802197802198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4DF-4DDA-B9C6-8B54A4290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286930592"/>
        <c:axId val="1286931008"/>
      </c:lineChart>
      <c:catAx>
        <c:axId val="128693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931008"/>
        <c:crosses val="autoZero"/>
        <c:auto val="1"/>
        <c:lblAlgn val="ctr"/>
        <c:lblOffset val="100"/>
        <c:noMultiLvlLbl val="0"/>
      </c:catAx>
      <c:valAx>
        <c:axId val="1286931008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930592"/>
        <c:crosses val="autoZero"/>
        <c:crossBetween val="between"/>
        <c:minorUnit val="1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  User Satisfaction by</a:t>
            </a:r>
            <a:r>
              <a:rPr lang="en-US" baseline="0"/>
              <a:t>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'End-User Satisfaction'!$B$4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'End-User Satisfaction'!$A$5:$A$9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Satisfaction'!$B$5:$B$9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2A-4F26-B684-88E0D19F1C60}"/>
            </c:ext>
          </c:extLst>
        </c:ser>
        <c:ser>
          <c:idx val="2"/>
          <c:order val="1"/>
          <c:tx>
            <c:strRef>
              <c:f>'End-User Satisfaction'!$C$4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'End-User Satisfaction'!$A$5:$A$9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Satisfaction'!$C$5:$C$9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2A-4F26-B684-88E0D19F1C60}"/>
            </c:ext>
          </c:extLst>
        </c:ser>
        <c:ser>
          <c:idx val="3"/>
          <c:order val="2"/>
          <c:tx>
            <c:strRef>
              <c:f>'End-User Satisfaction'!$D$4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'End-User Satisfaction'!$A$5:$A$9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Satisfaction'!$D$5:$D$9</c:f>
              <c:numCache>
                <c:formatCode>General</c:formatCode>
                <c:ptCount val="5"/>
                <c:pt idx="0">
                  <c:v>6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2A-4F26-B684-88E0D19F1C60}"/>
            </c:ext>
          </c:extLst>
        </c:ser>
        <c:ser>
          <c:idx val="4"/>
          <c:order val="3"/>
          <c:tx>
            <c:strRef>
              <c:f>'End-User Satisfaction'!$E$4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'End-User Satisfaction'!$A$5:$A$9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Satisfaction'!$E$5:$E$9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17</c:v>
                </c:pt>
                <c:pt idx="3">
                  <c:v>15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2A-4F26-B684-88E0D19F1C60}"/>
            </c:ext>
          </c:extLst>
        </c:ser>
        <c:ser>
          <c:idx val="5"/>
          <c:order val="4"/>
          <c:tx>
            <c:strRef>
              <c:f>'End-User Satisfaction'!$F$4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'End-User Satisfaction'!$A$5:$A$9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Satisfaction'!$F$5:$F$9</c:f>
              <c:numCache>
                <c:formatCode>General</c:formatCode>
                <c:ptCount val="5"/>
                <c:pt idx="0">
                  <c:v>37</c:v>
                </c:pt>
                <c:pt idx="1">
                  <c:v>35</c:v>
                </c:pt>
                <c:pt idx="2">
                  <c:v>34</c:v>
                </c:pt>
                <c:pt idx="3">
                  <c:v>33</c:v>
                </c:pt>
                <c:pt idx="4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2A-4F26-B684-88E0D19F1C60}"/>
            </c:ext>
          </c:extLst>
        </c:ser>
        <c:ser>
          <c:idx val="6"/>
          <c:order val="5"/>
          <c:tx>
            <c:strRef>
              <c:f>'End-User Satisfaction'!$G$4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'End-User Satisfaction'!$A$5:$A$9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Satisfaction'!$G$5:$G$9</c:f>
              <c:numCache>
                <c:formatCode>General</c:formatCode>
                <c:ptCount val="5"/>
                <c:pt idx="0">
                  <c:v>38</c:v>
                </c:pt>
                <c:pt idx="1">
                  <c:v>40</c:v>
                </c:pt>
                <c:pt idx="2">
                  <c:v>41</c:v>
                </c:pt>
                <c:pt idx="3">
                  <c:v>46</c:v>
                </c:pt>
                <c:pt idx="4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2A-4F26-B684-88E0D19F1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5243760"/>
        <c:axId val="1375244176"/>
      </c:barChart>
      <c:catAx>
        <c:axId val="1375243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244176"/>
        <c:crosses val="autoZero"/>
        <c:auto val="1"/>
        <c:lblAlgn val="ctr"/>
        <c:lblOffset val="100"/>
        <c:noMultiLvlLbl val="0"/>
      </c:catAx>
      <c:valAx>
        <c:axId val="137524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24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  User Satisfaction by</a:t>
            </a:r>
            <a:r>
              <a:rPr lang="en-US" baseline="0"/>
              <a:t>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'End-User Satisfaction'!$B$12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'End-User Satisfaction'!$A$13:$A$17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Satisfaction'!$B$13:$B$17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07-46DC-A5A5-0A6E44478330}"/>
            </c:ext>
          </c:extLst>
        </c:ser>
        <c:ser>
          <c:idx val="2"/>
          <c:order val="1"/>
          <c:tx>
            <c:strRef>
              <c:f>'End-User Satisfaction'!$C$12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'End-User Satisfaction'!$A$13:$A$17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Satisfaction'!$C$13:$C$17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07-46DC-A5A5-0A6E44478330}"/>
            </c:ext>
          </c:extLst>
        </c:ser>
        <c:ser>
          <c:idx val="3"/>
          <c:order val="2"/>
          <c:tx>
            <c:strRef>
              <c:f>'End-User Satisfaction'!$D$12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'End-User Satisfaction'!$A$13:$A$17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Satisfaction'!$D$13:$D$17</c:f>
              <c:numCache>
                <c:formatCode>General</c:formatCode>
                <c:ptCount val="5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07-46DC-A5A5-0A6E44478330}"/>
            </c:ext>
          </c:extLst>
        </c:ser>
        <c:ser>
          <c:idx val="4"/>
          <c:order val="3"/>
          <c:tx>
            <c:strRef>
              <c:f>'End-User Satisfaction'!$E$12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'End-User Satisfaction'!$A$13:$A$17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Satisfaction'!$E$13:$E$17</c:f>
              <c:numCache>
                <c:formatCode>General</c:formatCode>
                <c:ptCount val="5"/>
                <c:pt idx="0">
                  <c:v>18</c:v>
                </c:pt>
                <c:pt idx="1">
                  <c:v>17</c:v>
                </c:pt>
                <c:pt idx="2">
                  <c:v>19</c:v>
                </c:pt>
                <c:pt idx="3">
                  <c:v>20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07-46DC-A5A5-0A6E44478330}"/>
            </c:ext>
          </c:extLst>
        </c:ser>
        <c:ser>
          <c:idx val="5"/>
          <c:order val="4"/>
          <c:tx>
            <c:strRef>
              <c:f>'End-User Satisfaction'!$F$12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'End-User Satisfaction'!$A$13:$A$17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Satisfaction'!$F$13:$F$17</c:f>
              <c:numCache>
                <c:formatCode>General</c:formatCode>
                <c:ptCount val="5"/>
                <c:pt idx="0">
                  <c:v>36</c:v>
                </c:pt>
                <c:pt idx="1">
                  <c:v>36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07-46DC-A5A5-0A6E44478330}"/>
            </c:ext>
          </c:extLst>
        </c:ser>
        <c:ser>
          <c:idx val="6"/>
          <c:order val="5"/>
          <c:tx>
            <c:strRef>
              <c:f>'End-User Satisfaction'!$G$12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'End-User Satisfaction'!$A$13:$A$17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Satisfaction'!$G$13:$G$17</c:f>
              <c:numCache>
                <c:formatCode>General</c:formatCode>
                <c:ptCount val="5"/>
                <c:pt idx="0">
                  <c:v>38</c:v>
                </c:pt>
                <c:pt idx="1">
                  <c:v>37</c:v>
                </c:pt>
                <c:pt idx="2">
                  <c:v>36</c:v>
                </c:pt>
                <c:pt idx="3">
                  <c:v>36</c:v>
                </c:pt>
                <c:pt idx="4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07-46DC-A5A5-0A6E44478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5243760"/>
        <c:axId val="1375244176"/>
      </c:barChart>
      <c:catAx>
        <c:axId val="1375243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244176"/>
        <c:crosses val="autoZero"/>
        <c:auto val="1"/>
        <c:lblAlgn val="ctr"/>
        <c:lblOffset val="100"/>
        <c:noMultiLvlLbl val="0"/>
      </c:catAx>
      <c:valAx>
        <c:axId val="137524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24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Europe User Satisfaction by</a:t>
            </a:r>
            <a:r>
              <a:rPr lang="en-US" baseline="0"/>
              <a:t>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'End-User Satisfaction'!$B$20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'End-User Satisfaction'!$A$21:$A$25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Satisfaction'!$B$21:$B$25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87-44F6-B868-10CD1B0F91B0}"/>
            </c:ext>
          </c:extLst>
        </c:ser>
        <c:ser>
          <c:idx val="2"/>
          <c:order val="1"/>
          <c:tx>
            <c:strRef>
              <c:f>'End-User Satisfaction'!$C$20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'End-User Satisfaction'!$A$21:$A$25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Satisfaction'!$C$21:$C$25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87-44F6-B868-10CD1B0F91B0}"/>
            </c:ext>
          </c:extLst>
        </c:ser>
        <c:ser>
          <c:idx val="3"/>
          <c:order val="2"/>
          <c:tx>
            <c:strRef>
              <c:f>'End-User Satisfaction'!$D$20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'End-User Satisfaction'!$A$21:$A$25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Satisfaction'!$D$21:$D$25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87-44F6-B868-10CD1B0F91B0}"/>
            </c:ext>
          </c:extLst>
        </c:ser>
        <c:ser>
          <c:idx val="4"/>
          <c:order val="3"/>
          <c:tx>
            <c:strRef>
              <c:f>'End-User Satisfaction'!$E$20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'End-User Satisfaction'!$A$21:$A$25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Satisfaction'!$E$21:$E$25</c:f>
              <c:numCache>
                <c:formatCode>General</c:formatCode>
                <c:ptCount val="5"/>
                <c:pt idx="0">
                  <c:v>21</c:v>
                </c:pt>
                <c:pt idx="1">
                  <c:v>21</c:v>
                </c:pt>
                <c:pt idx="2">
                  <c:v>26</c:v>
                </c:pt>
                <c:pt idx="3">
                  <c:v>17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87-44F6-B868-10CD1B0F91B0}"/>
            </c:ext>
          </c:extLst>
        </c:ser>
        <c:ser>
          <c:idx val="5"/>
          <c:order val="4"/>
          <c:tx>
            <c:strRef>
              <c:f>'End-User Satisfaction'!$F$20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'End-User Satisfaction'!$A$21:$A$25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Satisfaction'!$F$21:$F$25</c:f>
              <c:numCache>
                <c:formatCode>General</c:formatCode>
                <c:ptCount val="5"/>
                <c:pt idx="0">
                  <c:v>36</c:v>
                </c:pt>
                <c:pt idx="1">
                  <c:v>34</c:v>
                </c:pt>
                <c:pt idx="2">
                  <c:v>37</c:v>
                </c:pt>
                <c:pt idx="3">
                  <c:v>41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87-44F6-B868-10CD1B0F91B0}"/>
            </c:ext>
          </c:extLst>
        </c:ser>
        <c:ser>
          <c:idx val="6"/>
          <c:order val="5"/>
          <c:tx>
            <c:strRef>
              <c:f>'End-User Satisfaction'!$G$20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'End-User Satisfaction'!$A$21:$A$25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Satisfaction'!$G$21:$G$25</c:f>
              <c:numCache>
                <c:formatCode>General</c:formatCode>
                <c:ptCount val="5"/>
                <c:pt idx="0">
                  <c:v>36</c:v>
                </c:pt>
                <c:pt idx="1">
                  <c:v>37</c:v>
                </c:pt>
                <c:pt idx="2">
                  <c:v>31</c:v>
                </c:pt>
                <c:pt idx="3">
                  <c:v>37</c:v>
                </c:pt>
                <c:pt idx="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787-44F6-B868-10CD1B0F9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5243760"/>
        <c:axId val="1375244176"/>
      </c:barChart>
      <c:catAx>
        <c:axId val="1375243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244176"/>
        <c:crosses val="autoZero"/>
        <c:auto val="1"/>
        <c:lblAlgn val="ctr"/>
        <c:lblOffset val="100"/>
        <c:noMultiLvlLbl val="0"/>
      </c:catAx>
      <c:valAx>
        <c:axId val="137524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24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Pacific User Satisfaction by</a:t>
            </a:r>
            <a:r>
              <a:rPr lang="en-US" baseline="0"/>
              <a:t>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'End-User Satisfaction'!$B$28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'End-User Satisfaction'!$A$29:$A$33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Satisfaction'!$B$29:$B$33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E1-40C7-B163-5EE5ACF1A830}"/>
            </c:ext>
          </c:extLst>
        </c:ser>
        <c:ser>
          <c:idx val="2"/>
          <c:order val="1"/>
          <c:tx>
            <c:strRef>
              <c:f>'End-User Satisfaction'!$C$28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'End-User Satisfaction'!$A$29:$A$33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Satisfaction'!$C$29:$C$33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E1-40C7-B163-5EE5ACF1A830}"/>
            </c:ext>
          </c:extLst>
        </c:ser>
        <c:ser>
          <c:idx val="3"/>
          <c:order val="2"/>
          <c:tx>
            <c:strRef>
              <c:f>'End-User Satisfaction'!$D$28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'End-User Satisfaction'!$A$29:$A$33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Satisfaction'!$D$29:$D$33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E1-40C7-B163-5EE5ACF1A830}"/>
            </c:ext>
          </c:extLst>
        </c:ser>
        <c:ser>
          <c:idx val="4"/>
          <c:order val="3"/>
          <c:tx>
            <c:strRef>
              <c:f>'End-User Satisfaction'!$E$28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'End-User Satisfaction'!$A$29:$A$33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Satisfaction'!$E$29:$E$33</c:f>
              <c:numCache>
                <c:formatCode>General</c:formatCode>
                <c:ptCount val="5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E1-40C7-B163-5EE5ACF1A830}"/>
            </c:ext>
          </c:extLst>
        </c:ser>
        <c:ser>
          <c:idx val="5"/>
          <c:order val="4"/>
          <c:tx>
            <c:strRef>
              <c:f>'End-User Satisfaction'!$F$28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'End-User Satisfaction'!$A$29:$A$33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Satisfaction'!$F$29:$F$33</c:f>
              <c:numCache>
                <c:formatCode>General</c:formatCode>
                <c:ptCount val="5"/>
                <c:pt idx="0">
                  <c:v>41</c:v>
                </c:pt>
                <c:pt idx="1">
                  <c:v>41</c:v>
                </c:pt>
                <c:pt idx="2">
                  <c:v>40</c:v>
                </c:pt>
                <c:pt idx="3">
                  <c:v>40</c:v>
                </c:pt>
                <c:pt idx="4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E1-40C7-B163-5EE5ACF1A830}"/>
            </c:ext>
          </c:extLst>
        </c:ser>
        <c:ser>
          <c:idx val="6"/>
          <c:order val="5"/>
          <c:tx>
            <c:strRef>
              <c:f>'End-User Satisfaction'!$G$28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'End-User Satisfaction'!$A$29:$A$33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Satisfaction'!$G$29:$G$33</c:f>
              <c:numCache>
                <c:formatCode>General</c:formatCode>
                <c:ptCount val="5"/>
                <c:pt idx="0">
                  <c:v>34</c:v>
                </c:pt>
                <c:pt idx="1">
                  <c:v>34</c:v>
                </c:pt>
                <c:pt idx="2">
                  <c:v>36</c:v>
                </c:pt>
                <c:pt idx="3">
                  <c:v>37</c:v>
                </c:pt>
                <c:pt idx="4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E1-40C7-B163-5EE5ACF1A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5243760"/>
        <c:axId val="1375244176"/>
      </c:barChart>
      <c:catAx>
        <c:axId val="1375243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244176"/>
        <c:crosses val="autoZero"/>
        <c:auto val="1"/>
        <c:lblAlgn val="ctr"/>
        <c:lblOffset val="100"/>
        <c:noMultiLvlLbl val="0"/>
      </c:catAx>
      <c:valAx>
        <c:axId val="137524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24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China User Satisfaction by</a:t>
            </a:r>
            <a:r>
              <a:rPr lang="en-US" baseline="0"/>
              <a:t>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'End-User Satisfaction'!$B$36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'End-User Satisfaction'!$A$37:$A$41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Satisfaction'!$B$37:$B$41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5E-4D9F-8142-A9518959EBF1}"/>
            </c:ext>
          </c:extLst>
        </c:ser>
        <c:ser>
          <c:idx val="2"/>
          <c:order val="1"/>
          <c:tx>
            <c:strRef>
              <c:f>'End-User Satisfaction'!$C$36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'End-User Satisfaction'!$A$37:$A$41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Satisfaction'!$C$37:$C$41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5E-4D9F-8142-A9518959EBF1}"/>
            </c:ext>
          </c:extLst>
        </c:ser>
        <c:ser>
          <c:idx val="3"/>
          <c:order val="2"/>
          <c:tx>
            <c:strRef>
              <c:f>'End-User Satisfaction'!$D$36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'End-User Satisfaction'!$A$37:$A$41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Satisfaction'!$D$37:$D$41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5E-4D9F-8142-A9518959EBF1}"/>
            </c:ext>
          </c:extLst>
        </c:ser>
        <c:ser>
          <c:idx val="4"/>
          <c:order val="3"/>
          <c:tx>
            <c:strRef>
              <c:f>'End-User Satisfaction'!$E$36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'End-User Satisfaction'!$A$37:$A$41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Satisfaction'!$E$37:$E$41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5E-4D9F-8142-A9518959EBF1}"/>
            </c:ext>
          </c:extLst>
        </c:ser>
        <c:ser>
          <c:idx val="5"/>
          <c:order val="4"/>
          <c:tx>
            <c:strRef>
              <c:f>'End-User Satisfaction'!$F$36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'End-User Satisfaction'!$A$37:$A$41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Satisfaction'!$F$37:$F$41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30</c:v>
                </c:pt>
                <c:pt idx="4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D5E-4D9F-8142-A9518959EBF1}"/>
            </c:ext>
          </c:extLst>
        </c:ser>
        <c:ser>
          <c:idx val="6"/>
          <c:order val="5"/>
          <c:tx>
            <c:strRef>
              <c:f>'End-User Satisfaction'!$G$36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'End-User Satisfaction'!$A$37:$A$41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Satisfaction'!$G$37:$G$41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11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D5E-4D9F-8142-A9518959E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5243760"/>
        <c:axId val="1375244176"/>
      </c:barChart>
      <c:catAx>
        <c:axId val="1375243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244176"/>
        <c:crosses val="autoZero"/>
        <c:auto val="1"/>
        <c:lblAlgn val="ctr"/>
        <c:lblOffset val="100"/>
        <c:noMultiLvlLbl val="0"/>
      </c:catAx>
      <c:valAx>
        <c:axId val="137524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24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User Satisfaction over Time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'End-User Satisfaction'!$A$3</c:f>
              <c:strCache>
                <c:ptCount val="1"/>
                <c:pt idx="0">
                  <c:v>North America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'End-User Satisfaction'!$A$5:$A$9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'End-User Satisfaction'!$I$5:$I$9</c:f>
              <c:numCache>
                <c:formatCode>0.00</c:formatCode>
                <c:ptCount val="5"/>
                <c:pt idx="0">
                  <c:v>3.98</c:v>
                </c:pt>
                <c:pt idx="1">
                  <c:v>4.04</c:v>
                </c:pt>
                <c:pt idx="2">
                  <c:v>4.04</c:v>
                </c:pt>
                <c:pt idx="3">
                  <c:v>4.17</c:v>
                </c:pt>
                <c:pt idx="4">
                  <c:v>4.22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47-48FA-9A67-8D7E9669197D}"/>
            </c:ext>
          </c:extLst>
        </c:ser>
        <c:ser>
          <c:idx val="1"/>
          <c:order val="1"/>
          <c:tx>
            <c:strRef>
              <c:f>'End-User Satisfaction'!$A$11</c:f>
              <c:strCache>
                <c:ptCount val="1"/>
                <c:pt idx="0">
                  <c:v>South America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'End-User Satisfaction'!$I$13:$I$17</c:f>
              <c:numCache>
                <c:formatCode>0.00</c:formatCode>
                <c:ptCount val="5"/>
                <c:pt idx="0">
                  <c:v>4</c:v>
                </c:pt>
                <c:pt idx="1">
                  <c:v>3.95</c:v>
                </c:pt>
                <c:pt idx="2">
                  <c:v>3.99</c:v>
                </c:pt>
                <c:pt idx="3">
                  <c:v>4</c:v>
                </c:pt>
                <c:pt idx="4">
                  <c:v>4.0199999999999996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47-48FA-9A67-8D7E9669197D}"/>
            </c:ext>
          </c:extLst>
        </c:ser>
        <c:ser>
          <c:idx val="2"/>
          <c:order val="2"/>
          <c:tx>
            <c:strRef>
              <c:f>'End-User Satisfaction'!$A$19</c:f>
              <c:strCache>
                <c:ptCount val="1"/>
                <c:pt idx="0">
                  <c:v>Europe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'End-User Satisfaction'!$I$21:$I$25</c:f>
              <c:numCache>
                <c:formatCode>0.00</c:formatCode>
                <c:ptCount val="5"/>
                <c:pt idx="0">
                  <c:v>3.97</c:v>
                </c:pt>
                <c:pt idx="1">
                  <c:v>3.96</c:v>
                </c:pt>
                <c:pt idx="2">
                  <c:v>3.9</c:v>
                </c:pt>
                <c:pt idx="3">
                  <c:v>4.07</c:v>
                </c:pt>
                <c:pt idx="4">
                  <c:v>4.07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47-48FA-9A67-8D7E9669197D}"/>
            </c:ext>
          </c:extLst>
        </c:ser>
        <c:ser>
          <c:idx val="3"/>
          <c:order val="3"/>
          <c:tx>
            <c:strRef>
              <c:f>'End-User Satisfaction'!$A$27</c:f>
              <c:strCache>
                <c:ptCount val="1"/>
                <c:pt idx="0">
                  <c:v>Pacific Rim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'End-User Satisfaction'!$I$29:$I$33</c:f>
              <c:numCache>
                <c:formatCode>0.00</c:formatCode>
                <c:ptCount val="5"/>
                <c:pt idx="0">
                  <c:v>3.92</c:v>
                </c:pt>
                <c:pt idx="1">
                  <c:v>3.95</c:v>
                </c:pt>
                <c:pt idx="2">
                  <c:v>4</c:v>
                </c:pt>
                <c:pt idx="3">
                  <c:v>4.0599999999999996</c:v>
                </c:pt>
                <c:pt idx="4">
                  <c:v>4.07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47-48FA-9A67-8D7E9669197D}"/>
            </c:ext>
          </c:extLst>
        </c:ser>
        <c:ser>
          <c:idx val="4"/>
          <c:order val="4"/>
          <c:tx>
            <c:strRef>
              <c:f>'End-User Satisfaction'!$A$35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  <a:lumOff val="40000"/>
                    <a:alpha val="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A47-48FA-9A67-8D7E9669197D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  <a:lumOff val="40000"/>
                    <a:alpha val="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AA47-48FA-9A67-8D7E9669197D}"/>
              </c:ext>
            </c:extLst>
          </c:dPt>
          <c:val>
            <c:numRef>
              <c:f>'End-User Satisfaction'!$I$37:$I$41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3.78</c:v>
                </c:pt>
                <c:pt idx="3">
                  <c:v>3.86</c:v>
                </c:pt>
                <c:pt idx="4">
                  <c:v>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47-48FA-9A67-8D7E9669197D}"/>
            </c:ext>
          </c:extLst>
        </c:ser>
        <c:ser>
          <c:idx val="5"/>
          <c:order val="5"/>
          <c:tx>
            <c:strRef>
              <c:f>'End-User Satisfaction'!$A$43</c:f>
              <c:strCache>
                <c:ptCount val="1"/>
                <c:pt idx="0">
                  <c:v>Overall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'End-User Satisfaction'!$I$45:$I$49</c:f>
              <c:numCache>
                <c:formatCode>0.00</c:formatCode>
                <c:ptCount val="5"/>
                <c:pt idx="0">
                  <c:v>3.9675000000000002</c:v>
                </c:pt>
                <c:pt idx="1">
                  <c:v>3.9750000000000001</c:v>
                </c:pt>
                <c:pt idx="2">
                  <c:v>3.9600000000000004</c:v>
                </c:pt>
                <c:pt idx="3">
                  <c:v>4.0511111111111111</c:v>
                </c:pt>
                <c:pt idx="4">
                  <c:v>4.0977777777777771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A47-48FA-9A67-8D7E96691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445936016"/>
        <c:axId val="1445957232"/>
      </c:lineChart>
      <c:catAx>
        <c:axId val="144593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957232"/>
        <c:crosses val="autoZero"/>
        <c:auto val="1"/>
        <c:lblAlgn val="ctr"/>
        <c:lblOffset val="100"/>
        <c:noMultiLvlLbl val="0"/>
      </c:catAx>
      <c:valAx>
        <c:axId val="1445957232"/>
        <c:scaling>
          <c:orientation val="minMax"/>
          <c:max val="5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936016"/>
        <c:crosses val="autoZero"/>
        <c:crossBetween val="between"/>
        <c:majorUnit val="1"/>
        <c:minorUnit val="1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Complaint Count by Region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'Complaints'!$C$1</c:f>
              <c:strCache>
                <c:ptCount val="1"/>
                <c:pt idx="0">
                  <c:v>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'Complaints'!$A$2:$A$61</c:f>
              <c:numCache>
                <c:formatCode>mm/dd/yy;@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'Complaints'!$C$2:$C$61</c:f>
              <c:numCache>
                <c:formatCode>General</c:formatCode>
                <c:ptCount val="60"/>
                <c:pt idx="0">
                  <c:v>102</c:v>
                </c:pt>
                <c:pt idx="1">
                  <c:v>115</c:v>
                </c:pt>
                <c:pt idx="2">
                  <c:v>128</c:v>
                </c:pt>
                <c:pt idx="3">
                  <c:v>136</c:v>
                </c:pt>
                <c:pt idx="4">
                  <c:v>137</c:v>
                </c:pt>
                <c:pt idx="5">
                  <c:v>151</c:v>
                </c:pt>
                <c:pt idx="6">
                  <c:v>140</c:v>
                </c:pt>
                <c:pt idx="7">
                  <c:v>128</c:v>
                </c:pt>
                <c:pt idx="8">
                  <c:v>103</c:v>
                </c:pt>
                <c:pt idx="9">
                  <c:v>96</c:v>
                </c:pt>
                <c:pt idx="10">
                  <c:v>84</c:v>
                </c:pt>
                <c:pt idx="11">
                  <c:v>99</c:v>
                </c:pt>
                <c:pt idx="12">
                  <c:v>123</c:v>
                </c:pt>
                <c:pt idx="13">
                  <c:v>141</c:v>
                </c:pt>
                <c:pt idx="14">
                  <c:v>152</c:v>
                </c:pt>
                <c:pt idx="15">
                  <c:v>163</c:v>
                </c:pt>
                <c:pt idx="16">
                  <c:v>178</c:v>
                </c:pt>
                <c:pt idx="17">
                  <c:v>170</c:v>
                </c:pt>
                <c:pt idx="18">
                  <c:v>153</c:v>
                </c:pt>
                <c:pt idx="19">
                  <c:v>146</c:v>
                </c:pt>
                <c:pt idx="20">
                  <c:v>131</c:v>
                </c:pt>
                <c:pt idx="21">
                  <c:v>125</c:v>
                </c:pt>
                <c:pt idx="22">
                  <c:v>118</c:v>
                </c:pt>
                <c:pt idx="23">
                  <c:v>96</c:v>
                </c:pt>
                <c:pt idx="24">
                  <c:v>112</c:v>
                </c:pt>
                <c:pt idx="25">
                  <c:v>117</c:v>
                </c:pt>
                <c:pt idx="26">
                  <c:v>126</c:v>
                </c:pt>
                <c:pt idx="27">
                  <c:v>138</c:v>
                </c:pt>
                <c:pt idx="28">
                  <c:v>152</c:v>
                </c:pt>
                <c:pt idx="29">
                  <c:v>163</c:v>
                </c:pt>
                <c:pt idx="30">
                  <c:v>156</c:v>
                </c:pt>
                <c:pt idx="31">
                  <c:v>148</c:v>
                </c:pt>
                <c:pt idx="32">
                  <c:v>143</c:v>
                </c:pt>
                <c:pt idx="33">
                  <c:v>131</c:v>
                </c:pt>
                <c:pt idx="34">
                  <c:v>128</c:v>
                </c:pt>
                <c:pt idx="35">
                  <c:v>107</c:v>
                </c:pt>
                <c:pt idx="36">
                  <c:v>110</c:v>
                </c:pt>
                <c:pt idx="37">
                  <c:v>123</c:v>
                </c:pt>
                <c:pt idx="38">
                  <c:v>138</c:v>
                </c:pt>
                <c:pt idx="39">
                  <c:v>150</c:v>
                </c:pt>
                <c:pt idx="40">
                  <c:v>169</c:v>
                </c:pt>
                <c:pt idx="41">
                  <c:v>181</c:v>
                </c:pt>
                <c:pt idx="42">
                  <c:v>169</c:v>
                </c:pt>
                <c:pt idx="43">
                  <c:v>160</c:v>
                </c:pt>
                <c:pt idx="44">
                  <c:v>141</c:v>
                </c:pt>
                <c:pt idx="45">
                  <c:v>123</c:v>
                </c:pt>
                <c:pt idx="46">
                  <c:v>112</c:v>
                </c:pt>
                <c:pt idx="47">
                  <c:v>105</c:v>
                </c:pt>
                <c:pt idx="48">
                  <c:v>121</c:v>
                </c:pt>
                <c:pt idx="49">
                  <c:v>126</c:v>
                </c:pt>
                <c:pt idx="50">
                  <c:v>148</c:v>
                </c:pt>
                <c:pt idx="51">
                  <c:v>155</c:v>
                </c:pt>
                <c:pt idx="52">
                  <c:v>168</c:v>
                </c:pt>
                <c:pt idx="53">
                  <c:v>183</c:v>
                </c:pt>
                <c:pt idx="54">
                  <c:v>170</c:v>
                </c:pt>
                <c:pt idx="55">
                  <c:v>158</c:v>
                </c:pt>
                <c:pt idx="56">
                  <c:v>149</c:v>
                </c:pt>
                <c:pt idx="57">
                  <c:v>136</c:v>
                </c:pt>
                <c:pt idx="58">
                  <c:v>121</c:v>
                </c:pt>
                <c:pt idx="59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64-4072-A8A4-23C20288724E}"/>
            </c:ext>
          </c:extLst>
        </c:ser>
        <c:ser>
          <c:idx val="2"/>
          <c:order val="1"/>
          <c:tx>
            <c:strRef>
              <c:f>'Complaints'!$D$1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'Complaints'!$A$2:$A$61</c:f>
              <c:numCache>
                <c:formatCode>mm/dd/yy;@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'Complaints'!$D$2:$D$61</c:f>
              <c:numCache>
                <c:formatCode>General</c:formatCode>
                <c:ptCount val="60"/>
                <c:pt idx="0">
                  <c:v>12</c:v>
                </c:pt>
                <c:pt idx="1">
                  <c:v>13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19</c:v>
                </c:pt>
                <c:pt idx="6">
                  <c:v>18</c:v>
                </c:pt>
                <c:pt idx="7">
                  <c:v>16</c:v>
                </c:pt>
                <c:pt idx="8">
                  <c:v>15</c:v>
                </c:pt>
                <c:pt idx="9">
                  <c:v>14</c:v>
                </c:pt>
                <c:pt idx="10">
                  <c:v>11</c:v>
                </c:pt>
                <c:pt idx="11">
                  <c:v>9</c:v>
                </c:pt>
                <c:pt idx="12">
                  <c:v>10</c:v>
                </c:pt>
                <c:pt idx="13">
                  <c:v>13</c:v>
                </c:pt>
                <c:pt idx="14">
                  <c:v>16</c:v>
                </c:pt>
                <c:pt idx="15">
                  <c:v>20</c:v>
                </c:pt>
                <c:pt idx="16">
                  <c:v>22</c:v>
                </c:pt>
                <c:pt idx="17">
                  <c:v>28</c:v>
                </c:pt>
                <c:pt idx="18">
                  <c:v>25</c:v>
                </c:pt>
                <c:pt idx="19">
                  <c:v>23</c:v>
                </c:pt>
                <c:pt idx="20">
                  <c:v>20</c:v>
                </c:pt>
                <c:pt idx="21">
                  <c:v>16</c:v>
                </c:pt>
                <c:pt idx="22">
                  <c:v>13</c:v>
                </c:pt>
                <c:pt idx="23">
                  <c:v>11</c:v>
                </c:pt>
                <c:pt idx="24">
                  <c:v>15</c:v>
                </c:pt>
                <c:pt idx="25">
                  <c:v>18</c:v>
                </c:pt>
                <c:pt idx="26">
                  <c:v>20</c:v>
                </c:pt>
                <c:pt idx="27">
                  <c:v>23</c:v>
                </c:pt>
                <c:pt idx="28">
                  <c:v>26</c:v>
                </c:pt>
                <c:pt idx="29">
                  <c:v>30</c:v>
                </c:pt>
                <c:pt idx="30">
                  <c:v>28</c:v>
                </c:pt>
                <c:pt idx="31">
                  <c:v>26</c:v>
                </c:pt>
                <c:pt idx="32">
                  <c:v>24</c:v>
                </c:pt>
                <c:pt idx="33">
                  <c:v>21</c:v>
                </c:pt>
                <c:pt idx="34">
                  <c:v>18</c:v>
                </c:pt>
                <c:pt idx="35">
                  <c:v>15</c:v>
                </c:pt>
                <c:pt idx="36">
                  <c:v>19</c:v>
                </c:pt>
                <c:pt idx="37">
                  <c:v>23</c:v>
                </c:pt>
                <c:pt idx="38">
                  <c:v>26</c:v>
                </c:pt>
                <c:pt idx="39">
                  <c:v>30</c:v>
                </c:pt>
                <c:pt idx="40">
                  <c:v>33</c:v>
                </c:pt>
                <c:pt idx="41">
                  <c:v>37</c:v>
                </c:pt>
                <c:pt idx="42">
                  <c:v>34</c:v>
                </c:pt>
                <c:pt idx="43">
                  <c:v>32</c:v>
                </c:pt>
                <c:pt idx="44">
                  <c:v>29</c:v>
                </c:pt>
                <c:pt idx="45">
                  <c:v>26</c:v>
                </c:pt>
                <c:pt idx="46">
                  <c:v>24</c:v>
                </c:pt>
                <c:pt idx="47">
                  <c:v>23</c:v>
                </c:pt>
                <c:pt idx="48">
                  <c:v>26</c:v>
                </c:pt>
                <c:pt idx="49">
                  <c:v>28</c:v>
                </c:pt>
                <c:pt idx="50">
                  <c:v>31</c:v>
                </c:pt>
                <c:pt idx="51">
                  <c:v>35</c:v>
                </c:pt>
                <c:pt idx="52">
                  <c:v>39</c:v>
                </c:pt>
                <c:pt idx="53">
                  <c:v>43</c:v>
                </c:pt>
                <c:pt idx="54">
                  <c:v>41</c:v>
                </c:pt>
                <c:pt idx="55">
                  <c:v>38</c:v>
                </c:pt>
                <c:pt idx="56">
                  <c:v>33</c:v>
                </c:pt>
                <c:pt idx="57">
                  <c:v>30</c:v>
                </c:pt>
                <c:pt idx="58">
                  <c:v>26</c:v>
                </c:pt>
                <c:pt idx="5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64-4072-A8A4-23C20288724E}"/>
            </c:ext>
          </c:extLst>
        </c:ser>
        <c:ser>
          <c:idx val="3"/>
          <c:order val="2"/>
          <c:tx>
            <c:strRef>
              <c:f>'Complaints'!$E$1</c:f>
              <c:strCache>
                <c:ptCount val="1"/>
                <c:pt idx="0">
                  <c:v>Eur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'Complaints'!$A$2:$A$61</c:f>
              <c:numCache>
                <c:formatCode>mm/dd/yy;@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'Complaints'!$E$2:$E$61</c:f>
              <c:numCache>
                <c:formatCode>General</c:formatCode>
                <c:ptCount val="60"/>
                <c:pt idx="0">
                  <c:v>52</c:v>
                </c:pt>
                <c:pt idx="1">
                  <c:v>55</c:v>
                </c:pt>
                <c:pt idx="2">
                  <c:v>61</c:v>
                </c:pt>
                <c:pt idx="3">
                  <c:v>67</c:v>
                </c:pt>
                <c:pt idx="4">
                  <c:v>73</c:v>
                </c:pt>
                <c:pt idx="5">
                  <c:v>82</c:v>
                </c:pt>
                <c:pt idx="6">
                  <c:v>80</c:v>
                </c:pt>
                <c:pt idx="7">
                  <c:v>76</c:v>
                </c:pt>
                <c:pt idx="8">
                  <c:v>73</c:v>
                </c:pt>
                <c:pt idx="9">
                  <c:v>62</c:v>
                </c:pt>
                <c:pt idx="10">
                  <c:v>59</c:v>
                </c:pt>
                <c:pt idx="11">
                  <c:v>54</c:v>
                </c:pt>
                <c:pt idx="12">
                  <c:v>59</c:v>
                </c:pt>
                <c:pt idx="13">
                  <c:v>62</c:v>
                </c:pt>
                <c:pt idx="14">
                  <c:v>66</c:v>
                </c:pt>
                <c:pt idx="15">
                  <c:v>70</c:v>
                </c:pt>
                <c:pt idx="16">
                  <c:v>75</c:v>
                </c:pt>
                <c:pt idx="17">
                  <c:v>86</c:v>
                </c:pt>
                <c:pt idx="18">
                  <c:v>81</c:v>
                </c:pt>
                <c:pt idx="19">
                  <c:v>79</c:v>
                </c:pt>
                <c:pt idx="20">
                  <c:v>73</c:v>
                </c:pt>
                <c:pt idx="21">
                  <c:v>68</c:v>
                </c:pt>
                <c:pt idx="22">
                  <c:v>66</c:v>
                </c:pt>
                <c:pt idx="23">
                  <c:v>61</c:v>
                </c:pt>
                <c:pt idx="24">
                  <c:v>66</c:v>
                </c:pt>
                <c:pt idx="25">
                  <c:v>71</c:v>
                </c:pt>
                <c:pt idx="26">
                  <c:v>76</c:v>
                </c:pt>
                <c:pt idx="27">
                  <c:v>79</c:v>
                </c:pt>
                <c:pt idx="28">
                  <c:v>85</c:v>
                </c:pt>
                <c:pt idx="29">
                  <c:v>91</c:v>
                </c:pt>
                <c:pt idx="30">
                  <c:v>89</c:v>
                </c:pt>
                <c:pt idx="31">
                  <c:v>86</c:v>
                </c:pt>
                <c:pt idx="32">
                  <c:v>82</c:v>
                </c:pt>
                <c:pt idx="33">
                  <c:v>76</c:v>
                </c:pt>
                <c:pt idx="34">
                  <c:v>73</c:v>
                </c:pt>
                <c:pt idx="35">
                  <c:v>70</c:v>
                </c:pt>
                <c:pt idx="36">
                  <c:v>74</c:v>
                </c:pt>
                <c:pt idx="37">
                  <c:v>79</c:v>
                </c:pt>
                <c:pt idx="38">
                  <c:v>83</c:v>
                </c:pt>
                <c:pt idx="39">
                  <c:v>88</c:v>
                </c:pt>
                <c:pt idx="40">
                  <c:v>91</c:v>
                </c:pt>
                <c:pt idx="41">
                  <c:v>95</c:v>
                </c:pt>
                <c:pt idx="42">
                  <c:v>92</c:v>
                </c:pt>
                <c:pt idx="43">
                  <c:v>90</c:v>
                </c:pt>
                <c:pt idx="44">
                  <c:v>87</c:v>
                </c:pt>
                <c:pt idx="45">
                  <c:v>83</c:v>
                </c:pt>
                <c:pt idx="46">
                  <c:v>77</c:v>
                </c:pt>
                <c:pt idx="47">
                  <c:v>74</c:v>
                </c:pt>
                <c:pt idx="48">
                  <c:v>80</c:v>
                </c:pt>
                <c:pt idx="49">
                  <c:v>82</c:v>
                </c:pt>
                <c:pt idx="50">
                  <c:v>85</c:v>
                </c:pt>
                <c:pt idx="51">
                  <c:v>89</c:v>
                </c:pt>
                <c:pt idx="52">
                  <c:v>95</c:v>
                </c:pt>
                <c:pt idx="53">
                  <c:v>98</c:v>
                </c:pt>
                <c:pt idx="54">
                  <c:v>95</c:v>
                </c:pt>
                <c:pt idx="55">
                  <c:v>93</c:v>
                </c:pt>
                <c:pt idx="56">
                  <c:v>89</c:v>
                </c:pt>
                <c:pt idx="57">
                  <c:v>85</c:v>
                </c:pt>
                <c:pt idx="58">
                  <c:v>80</c:v>
                </c:pt>
                <c:pt idx="59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64-4072-A8A4-23C20288724E}"/>
            </c:ext>
          </c:extLst>
        </c:ser>
        <c:ser>
          <c:idx val="4"/>
          <c:order val="3"/>
          <c:tx>
            <c:strRef>
              <c:f>'Complaints'!$F$1</c:f>
              <c:strCache>
                <c:ptCount val="1"/>
                <c:pt idx="0">
                  <c:v>Pac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'Complaints'!$A$2:$A$61</c:f>
              <c:numCache>
                <c:formatCode>mm/dd/yy;@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'Complaints'!$F$2:$F$61</c:f>
              <c:numCache>
                <c:formatCode>General</c:formatCode>
                <c:ptCount val="60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9</c:v>
                </c:pt>
                <c:pt idx="6">
                  <c:v>7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3</c:v>
                </c:pt>
                <c:pt idx="13">
                  <c:v>5</c:v>
                </c:pt>
                <c:pt idx="14">
                  <c:v>6</c:v>
                </c:pt>
                <c:pt idx="15">
                  <c:v>11</c:v>
                </c:pt>
                <c:pt idx="16">
                  <c:v>8</c:v>
                </c:pt>
                <c:pt idx="17">
                  <c:v>12</c:v>
                </c:pt>
                <c:pt idx="18">
                  <c:v>10</c:v>
                </c:pt>
                <c:pt idx="19">
                  <c:v>8</c:v>
                </c:pt>
                <c:pt idx="20">
                  <c:v>7</c:v>
                </c:pt>
                <c:pt idx="21">
                  <c:v>5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6</c:v>
                </c:pt>
                <c:pt idx="26">
                  <c:v>9</c:v>
                </c:pt>
                <c:pt idx="27">
                  <c:v>11</c:v>
                </c:pt>
                <c:pt idx="28">
                  <c:v>14</c:v>
                </c:pt>
                <c:pt idx="29">
                  <c:v>15</c:v>
                </c:pt>
                <c:pt idx="30">
                  <c:v>18</c:v>
                </c:pt>
                <c:pt idx="31">
                  <c:v>15</c:v>
                </c:pt>
                <c:pt idx="32">
                  <c:v>13</c:v>
                </c:pt>
                <c:pt idx="33">
                  <c:v>12</c:v>
                </c:pt>
                <c:pt idx="34">
                  <c:v>10</c:v>
                </c:pt>
                <c:pt idx="35">
                  <c:v>7</c:v>
                </c:pt>
                <c:pt idx="36">
                  <c:v>8</c:v>
                </c:pt>
                <c:pt idx="37">
                  <c:v>10</c:v>
                </c:pt>
                <c:pt idx="38">
                  <c:v>13</c:v>
                </c:pt>
                <c:pt idx="39">
                  <c:v>11</c:v>
                </c:pt>
                <c:pt idx="40">
                  <c:v>15</c:v>
                </c:pt>
                <c:pt idx="41">
                  <c:v>19</c:v>
                </c:pt>
                <c:pt idx="42">
                  <c:v>17</c:v>
                </c:pt>
                <c:pt idx="43">
                  <c:v>15</c:v>
                </c:pt>
                <c:pt idx="44">
                  <c:v>14</c:v>
                </c:pt>
                <c:pt idx="45">
                  <c:v>12</c:v>
                </c:pt>
                <c:pt idx="46">
                  <c:v>10</c:v>
                </c:pt>
                <c:pt idx="47">
                  <c:v>7</c:v>
                </c:pt>
                <c:pt idx="48">
                  <c:v>8</c:v>
                </c:pt>
                <c:pt idx="49">
                  <c:v>10</c:v>
                </c:pt>
                <c:pt idx="50">
                  <c:v>12</c:v>
                </c:pt>
                <c:pt idx="51">
                  <c:v>13</c:v>
                </c:pt>
                <c:pt idx="52">
                  <c:v>12</c:v>
                </c:pt>
                <c:pt idx="53">
                  <c:v>15</c:v>
                </c:pt>
                <c:pt idx="54">
                  <c:v>14</c:v>
                </c:pt>
                <c:pt idx="55">
                  <c:v>13</c:v>
                </c:pt>
                <c:pt idx="56">
                  <c:v>11</c:v>
                </c:pt>
                <c:pt idx="57">
                  <c:v>8</c:v>
                </c:pt>
                <c:pt idx="58">
                  <c:v>7</c:v>
                </c:pt>
                <c:pt idx="5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64-4072-A8A4-23C20288724E}"/>
            </c:ext>
          </c:extLst>
        </c:ser>
        <c:ser>
          <c:idx val="5"/>
          <c:order val="4"/>
          <c:tx>
            <c:strRef>
              <c:f>'Complaints'!$G$1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'Complaints'!$A$2:$A$61</c:f>
              <c:numCache>
                <c:formatCode>mm/dd/yy;@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'Complaints'!$G$2:$G$61</c:f>
              <c:numCache>
                <c:formatCode>General</c:formatCode>
                <c:ptCount val="60"/>
                <c:pt idx="24">
                  <c:v>3</c:v>
                </c:pt>
                <c:pt idx="25">
                  <c:v>4</c:v>
                </c:pt>
                <c:pt idx="26">
                  <c:v>3</c:v>
                </c:pt>
                <c:pt idx="27">
                  <c:v>2</c:v>
                </c:pt>
                <c:pt idx="28">
                  <c:v>5</c:v>
                </c:pt>
                <c:pt idx="29">
                  <c:v>6</c:v>
                </c:pt>
                <c:pt idx="30">
                  <c:v>5</c:v>
                </c:pt>
                <c:pt idx="31">
                  <c:v>4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4</c:v>
                </c:pt>
                <c:pt idx="38">
                  <c:v>6</c:v>
                </c:pt>
                <c:pt idx="39">
                  <c:v>5</c:v>
                </c:pt>
                <c:pt idx="40">
                  <c:v>7</c:v>
                </c:pt>
                <c:pt idx="41">
                  <c:v>8</c:v>
                </c:pt>
                <c:pt idx="42">
                  <c:v>7</c:v>
                </c:pt>
                <c:pt idx="43">
                  <c:v>7</c:v>
                </c:pt>
                <c:pt idx="44">
                  <c:v>6</c:v>
                </c:pt>
                <c:pt idx="45">
                  <c:v>6</c:v>
                </c:pt>
                <c:pt idx="46">
                  <c:v>5</c:v>
                </c:pt>
                <c:pt idx="47">
                  <c:v>4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8</c:v>
                </c:pt>
                <c:pt idx="53">
                  <c:v>11</c:v>
                </c:pt>
                <c:pt idx="54">
                  <c:v>10</c:v>
                </c:pt>
                <c:pt idx="55">
                  <c:v>9</c:v>
                </c:pt>
                <c:pt idx="56">
                  <c:v>7</c:v>
                </c:pt>
                <c:pt idx="57">
                  <c:v>6</c:v>
                </c:pt>
                <c:pt idx="58">
                  <c:v>5</c:v>
                </c:pt>
                <c:pt idx="5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864-4072-A8A4-23C202887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5333408"/>
        <c:axId val="1385327584"/>
      </c:lineChart>
      <c:dateAx>
        <c:axId val="1385333408"/>
        <c:scaling>
          <c:orientation val="minMax"/>
        </c:scaling>
        <c:delete val="0"/>
        <c:axPos val="b"/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327584"/>
        <c:crosses val="autoZero"/>
        <c:auto val="0"/>
        <c:lblOffset val="100"/>
        <c:baseTimeUnit val="months"/>
        <c:majorUnit val="4"/>
        <c:majorTimeUnit val="months"/>
        <c:minorUnit val="1"/>
        <c:minorTimeUnit val="years"/>
      </c:dateAx>
      <c:valAx>
        <c:axId val="138532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3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Complaint Ratio by Region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1"/>
          <c:order val="0"/>
          <c:tx>
            <c:strRef>
              <c:f>'Complaints'!$C$1</c:f>
              <c:strCache>
                <c:ptCount val="1"/>
                <c:pt idx="0">
                  <c:v>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'Complaints'!$A$2:$A$61</c:f>
              <c:numCache>
                <c:formatCode>mm/dd/yy;@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'Complaints'!$C$2:$C$61</c:f>
              <c:numCache>
                <c:formatCode>General</c:formatCode>
                <c:ptCount val="60"/>
                <c:pt idx="0">
                  <c:v>102</c:v>
                </c:pt>
                <c:pt idx="1">
                  <c:v>115</c:v>
                </c:pt>
                <c:pt idx="2">
                  <c:v>128</c:v>
                </c:pt>
                <c:pt idx="3">
                  <c:v>136</c:v>
                </c:pt>
                <c:pt idx="4">
                  <c:v>137</c:v>
                </c:pt>
                <c:pt idx="5">
                  <c:v>151</c:v>
                </c:pt>
                <c:pt idx="6">
                  <c:v>140</c:v>
                </c:pt>
                <c:pt idx="7">
                  <c:v>128</c:v>
                </c:pt>
                <c:pt idx="8">
                  <c:v>103</c:v>
                </c:pt>
                <c:pt idx="9">
                  <c:v>96</c:v>
                </c:pt>
                <c:pt idx="10">
                  <c:v>84</c:v>
                </c:pt>
                <c:pt idx="11">
                  <c:v>99</c:v>
                </c:pt>
                <c:pt idx="12">
                  <c:v>123</c:v>
                </c:pt>
                <c:pt idx="13">
                  <c:v>141</c:v>
                </c:pt>
                <c:pt idx="14">
                  <c:v>152</c:v>
                </c:pt>
                <c:pt idx="15">
                  <c:v>163</c:v>
                </c:pt>
                <c:pt idx="16">
                  <c:v>178</c:v>
                </c:pt>
                <c:pt idx="17">
                  <c:v>170</c:v>
                </c:pt>
                <c:pt idx="18">
                  <c:v>153</c:v>
                </c:pt>
                <c:pt idx="19">
                  <c:v>146</c:v>
                </c:pt>
                <c:pt idx="20">
                  <c:v>131</c:v>
                </c:pt>
                <c:pt idx="21">
                  <c:v>125</c:v>
                </c:pt>
                <c:pt idx="22">
                  <c:v>118</c:v>
                </c:pt>
                <c:pt idx="23">
                  <c:v>96</c:v>
                </c:pt>
                <c:pt idx="24">
                  <c:v>112</c:v>
                </c:pt>
                <c:pt idx="25">
                  <c:v>117</c:v>
                </c:pt>
                <c:pt idx="26">
                  <c:v>126</c:v>
                </c:pt>
                <c:pt idx="27">
                  <c:v>138</c:v>
                </c:pt>
                <c:pt idx="28">
                  <c:v>152</c:v>
                </c:pt>
                <c:pt idx="29">
                  <c:v>163</c:v>
                </c:pt>
                <c:pt idx="30">
                  <c:v>156</c:v>
                </c:pt>
                <c:pt idx="31">
                  <c:v>148</c:v>
                </c:pt>
                <c:pt idx="32">
                  <c:v>143</c:v>
                </c:pt>
                <c:pt idx="33">
                  <c:v>131</c:v>
                </c:pt>
                <c:pt idx="34">
                  <c:v>128</c:v>
                </c:pt>
                <c:pt idx="35">
                  <c:v>107</c:v>
                </c:pt>
                <c:pt idx="36">
                  <c:v>110</c:v>
                </c:pt>
                <c:pt idx="37">
                  <c:v>123</c:v>
                </c:pt>
                <c:pt idx="38">
                  <c:v>138</c:v>
                </c:pt>
                <c:pt idx="39">
                  <c:v>150</c:v>
                </c:pt>
                <c:pt idx="40">
                  <c:v>169</c:v>
                </c:pt>
                <c:pt idx="41">
                  <c:v>181</c:v>
                </c:pt>
                <c:pt idx="42">
                  <c:v>169</c:v>
                </c:pt>
                <c:pt idx="43">
                  <c:v>160</c:v>
                </c:pt>
                <c:pt idx="44">
                  <c:v>141</c:v>
                </c:pt>
                <c:pt idx="45">
                  <c:v>123</c:v>
                </c:pt>
                <c:pt idx="46">
                  <c:v>112</c:v>
                </c:pt>
                <c:pt idx="47">
                  <c:v>105</c:v>
                </c:pt>
                <c:pt idx="48">
                  <c:v>121</c:v>
                </c:pt>
                <c:pt idx="49">
                  <c:v>126</c:v>
                </c:pt>
                <c:pt idx="50">
                  <c:v>148</c:v>
                </c:pt>
                <c:pt idx="51">
                  <c:v>155</c:v>
                </c:pt>
                <c:pt idx="52">
                  <c:v>168</c:v>
                </c:pt>
                <c:pt idx="53">
                  <c:v>183</c:v>
                </c:pt>
                <c:pt idx="54">
                  <c:v>170</c:v>
                </c:pt>
                <c:pt idx="55">
                  <c:v>158</c:v>
                </c:pt>
                <c:pt idx="56">
                  <c:v>149</c:v>
                </c:pt>
                <c:pt idx="57">
                  <c:v>136</c:v>
                </c:pt>
                <c:pt idx="58">
                  <c:v>121</c:v>
                </c:pt>
                <c:pt idx="59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E2-4501-AEB3-9937FC650293}"/>
            </c:ext>
          </c:extLst>
        </c:ser>
        <c:ser>
          <c:idx val="2"/>
          <c:order val="1"/>
          <c:tx>
            <c:strRef>
              <c:f>'Complaints'!$D$1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'Complaints'!$A$2:$A$61</c:f>
              <c:numCache>
                <c:formatCode>mm/dd/yy;@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'Complaints'!$D$2:$D$61</c:f>
              <c:numCache>
                <c:formatCode>General</c:formatCode>
                <c:ptCount val="60"/>
                <c:pt idx="0">
                  <c:v>12</c:v>
                </c:pt>
                <c:pt idx="1">
                  <c:v>13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19</c:v>
                </c:pt>
                <c:pt idx="6">
                  <c:v>18</c:v>
                </c:pt>
                <c:pt idx="7">
                  <c:v>16</c:v>
                </c:pt>
                <c:pt idx="8">
                  <c:v>15</c:v>
                </c:pt>
                <c:pt idx="9">
                  <c:v>14</c:v>
                </c:pt>
                <c:pt idx="10">
                  <c:v>11</c:v>
                </c:pt>
                <c:pt idx="11">
                  <c:v>9</c:v>
                </c:pt>
                <c:pt idx="12">
                  <c:v>10</c:v>
                </c:pt>
                <c:pt idx="13">
                  <c:v>13</c:v>
                </c:pt>
                <c:pt idx="14">
                  <c:v>16</c:v>
                </c:pt>
                <c:pt idx="15">
                  <c:v>20</c:v>
                </c:pt>
                <c:pt idx="16">
                  <c:v>22</c:v>
                </c:pt>
                <c:pt idx="17">
                  <c:v>28</c:v>
                </c:pt>
                <c:pt idx="18">
                  <c:v>25</c:v>
                </c:pt>
                <c:pt idx="19">
                  <c:v>23</c:v>
                </c:pt>
                <c:pt idx="20">
                  <c:v>20</c:v>
                </c:pt>
                <c:pt idx="21">
                  <c:v>16</c:v>
                </c:pt>
                <c:pt idx="22">
                  <c:v>13</c:v>
                </c:pt>
                <c:pt idx="23">
                  <c:v>11</c:v>
                </c:pt>
                <c:pt idx="24">
                  <c:v>15</c:v>
                </c:pt>
                <c:pt idx="25">
                  <c:v>18</c:v>
                </c:pt>
                <c:pt idx="26">
                  <c:v>20</c:v>
                </c:pt>
                <c:pt idx="27">
                  <c:v>23</c:v>
                </c:pt>
                <c:pt idx="28">
                  <c:v>26</c:v>
                </c:pt>
                <c:pt idx="29">
                  <c:v>30</c:v>
                </c:pt>
                <c:pt idx="30">
                  <c:v>28</c:v>
                </c:pt>
                <c:pt idx="31">
                  <c:v>26</c:v>
                </c:pt>
                <c:pt idx="32">
                  <c:v>24</c:v>
                </c:pt>
                <c:pt idx="33">
                  <c:v>21</c:v>
                </c:pt>
                <c:pt idx="34">
                  <c:v>18</c:v>
                </c:pt>
                <c:pt idx="35">
                  <c:v>15</c:v>
                </c:pt>
                <c:pt idx="36">
                  <c:v>19</c:v>
                </c:pt>
                <c:pt idx="37">
                  <c:v>23</c:v>
                </c:pt>
                <c:pt idx="38">
                  <c:v>26</c:v>
                </c:pt>
                <c:pt idx="39">
                  <c:v>30</c:v>
                </c:pt>
                <c:pt idx="40">
                  <c:v>33</c:v>
                </c:pt>
                <c:pt idx="41">
                  <c:v>37</c:v>
                </c:pt>
                <c:pt idx="42">
                  <c:v>34</c:v>
                </c:pt>
                <c:pt idx="43">
                  <c:v>32</c:v>
                </c:pt>
                <c:pt idx="44">
                  <c:v>29</c:v>
                </c:pt>
                <c:pt idx="45">
                  <c:v>26</c:v>
                </c:pt>
                <c:pt idx="46">
                  <c:v>24</c:v>
                </c:pt>
                <c:pt idx="47">
                  <c:v>23</c:v>
                </c:pt>
                <c:pt idx="48">
                  <c:v>26</c:v>
                </c:pt>
                <c:pt idx="49">
                  <c:v>28</c:v>
                </c:pt>
                <c:pt idx="50">
                  <c:v>31</c:v>
                </c:pt>
                <c:pt idx="51">
                  <c:v>35</c:v>
                </c:pt>
                <c:pt idx="52">
                  <c:v>39</c:v>
                </c:pt>
                <c:pt idx="53">
                  <c:v>43</c:v>
                </c:pt>
                <c:pt idx="54">
                  <c:v>41</c:v>
                </c:pt>
                <c:pt idx="55">
                  <c:v>38</c:v>
                </c:pt>
                <c:pt idx="56">
                  <c:v>33</c:v>
                </c:pt>
                <c:pt idx="57">
                  <c:v>30</c:v>
                </c:pt>
                <c:pt idx="58">
                  <c:v>26</c:v>
                </c:pt>
                <c:pt idx="5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E2-4501-AEB3-9937FC650293}"/>
            </c:ext>
          </c:extLst>
        </c:ser>
        <c:ser>
          <c:idx val="3"/>
          <c:order val="2"/>
          <c:tx>
            <c:strRef>
              <c:f>'Complaints'!$E$1</c:f>
              <c:strCache>
                <c:ptCount val="1"/>
                <c:pt idx="0">
                  <c:v>Eur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'Complaints'!$A$2:$A$61</c:f>
              <c:numCache>
                <c:formatCode>mm/dd/yy;@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'Complaints'!$E$2:$E$61</c:f>
              <c:numCache>
                <c:formatCode>General</c:formatCode>
                <c:ptCount val="60"/>
                <c:pt idx="0">
                  <c:v>52</c:v>
                </c:pt>
                <c:pt idx="1">
                  <c:v>55</c:v>
                </c:pt>
                <c:pt idx="2">
                  <c:v>61</c:v>
                </c:pt>
                <c:pt idx="3">
                  <c:v>67</c:v>
                </c:pt>
                <c:pt idx="4">
                  <c:v>73</c:v>
                </c:pt>
                <c:pt idx="5">
                  <c:v>82</c:v>
                </c:pt>
                <c:pt idx="6">
                  <c:v>80</c:v>
                </c:pt>
                <c:pt idx="7">
                  <c:v>76</c:v>
                </c:pt>
                <c:pt idx="8">
                  <c:v>73</c:v>
                </c:pt>
                <c:pt idx="9">
                  <c:v>62</c:v>
                </c:pt>
                <c:pt idx="10">
                  <c:v>59</c:v>
                </c:pt>
                <c:pt idx="11">
                  <c:v>54</c:v>
                </c:pt>
                <c:pt idx="12">
                  <c:v>59</c:v>
                </c:pt>
                <c:pt idx="13">
                  <c:v>62</c:v>
                </c:pt>
                <c:pt idx="14">
                  <c:v>66</c:v>
                </c:pt>
                <c:pt idx="15">
                  <c:v>70</c:v>
                </c:pt>
                <c:pt idx="16">
                  <c:v>75</c:v>
                </c:pt>
                <c:pt idx="17">
                  <c:v>86</c:v>
                </c:pt>
                <c:pt idx="18">
                  <c:v>81</c:v>
                </c:pt>
                <c:pt idx="19">
                  <c:v>79</c:v>
                </c:pt>
                <c:pt idx="20">
                  <c:v>73</c:v>
                </c:pt>
                <c:pt idx="21">
                  <c:v>68</c:v>
                </c:pt>
                <c:pt idx="22">
                  <c:v>66</c:v>
                </c:pt>
                <c:pt idx="23">
                  <c:v>61</c:v>
                </c:pt>
                <c:pt idx="24">
                  <c:v>66</c:v>
                </c:pt>
                <c:pt idx="25">
                  <c:v>71</c:v>
                </c:pt>
                <c:pt idx="26">
                  <c:v>76</c:v>
                </c:pt>
                <c:pt idx="27">
                  <c:v>79</c:v>
                </c:pt>
                <c:pt idx="28">
                  <c:v>85</c:v>
                </c:pt>
                <c:pt idx="29">
                  <c:v>91</c:v>
                </c:pt>
                <c:pt idx="30">
                  <c:v>89</c:v>
                </c:pt>
                <c:pt idx="31">
                  <c:v>86</c:v>
                </c:pt>
                <c:pt idx="32">
                  <c:v>82</c:v>
                </c:pt>
                <c:pt idx="33">
                  <c:v>76</c:v>
                </c:pt>
                <c:pt idx="34">
                  <c:v>73</c:v>
                </c:pt>
                <c:pt idx="35">
                  <c:v>70</c:v>
                </c:pt>
                <c:pt idx="36">
                  <c:v>74</c:v>
                </c:pt>
                <c:pt idx="37">
                  <c:v>79</c:v>
                </c:pt>
                <c:pt idx="38">
                  <c:v>83</c:v>
                </c:pt>
                <c:pt idx="39">
                  <c:v>88</c:v>
                </c:pt>
                <c:pt idx="40">
                  <c:v>91</c:v>
                </c:pt>
                <c:pt idx="41">
                  <c:v>95</c:v>
                </c:pt>
                <c:pt idx="42">
                  <c:v>92</c:v>
                </c:pt>
                <c:pt idx="43">
                  <c:v>90</c:v>
                </c:pt>
                <c:pt idx="44">
                  <c:v>87</c:v>
                </c:pt>
                <c:pt idx="45">
                  <c:v>83</c:v>
                </c:pt>
                <c:pt idx="46">
                  <c:v>77</c:v>
                </c:pt>
                <c:pt idx="47">
                  <c:v>74</c:v>
                </c:pt>
                <c:pt idx="48">
                  <c:v>80</c:v>
                </c:pt>
                <c:pt idx="49">
                  <c:v>82</c:v>
                </c:pt>
                <c:pt idx="50">
                  <c:v>85</c:v>
                </c:pt>
                <c:pt idx="51">
                  <c:v>89</c:v>
                </c:pt>
                <c:pt idx="52">
                  <c:v>95</c:v>
                </c:pt>
                <c:pt idx="53">
                  <c:v>98</c:v>
                </c:pt>
                <c:pt idx="54">
                  <c:v>95</c:v>
                </c:pt>
                <c:pt idx="55">
                  <c:v>93</c:v>
                </c:pt>
                <c:pt idx="56">
                  <c:v>89</c:v>
                </c:pt>
                <c:pt idx="57">
                  <c:v>85</c:v>
                </c:pt>
                <c:pt idx="58">
                  <c:v>80</c:v>
                </c:pt>
                <c:pt idx="59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E2-4501-AEB3-9937FC650293}"/>
            </c:ext>
          </c:extLst>
        </c:ser>
        <c:ser>
          <c:idx val="4"/>
          <c:order val="3"/>
          <c:tx>
            <c:strRef>
              <c:f>'Complaints'!$F$1</c:f>
              <c:strCache>
                <c:ptCount val="1"/>
                <c:pt idx="0">
                  <c:v>Pac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'Complaints'!$A$2:$A$61</c:f>
              <c:numCache>
                <c:formatCode>mm/dd/yy;@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'Complaints'!$F$2:$F$61</c:f>
              <c:numCache>
                <c:formatCode>General</c:formatCode>
                <c:ptCount val="60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9</c:v>
                </c:pt>
                <c:pt idx="6">
                  <c:v>7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3</c:v>
                </c:pt>
                <c:pt idx="13">
                  <c:v>5</c:v>
                </c:pt>
                <c:pt idx="14">
                  <c:v>6</c:v>
                </c:pt>
                <c:pt idx="15">
                  <c:v>11</c:v>
                </c:pt>
                <c:pt idx="16">
                  <c:v>8</c:v>
                </c:pt>
                <c:pt idx="17">
                  <c:v>12</c:v>
                </c:pt>
                <c:pt idx="18">
                  <c:v>10</c:v>
                </c:pt>
                <c:pt idx="19">
                  <c:v>8</c:v>
                </c:pt>
                <c:pt idx="20">
                  <c:v>7</c:v>
                </c:pt>
                <c:pt idx="21">
                  <c:v>5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6</c:v>
                </c:pt>
                <c:pt idx="26">
                  <c:v>9</c:v>
                </c:pt>
                <c:pt idx="27">
                  <c:v>11</c:v>
                </c:pt>
                <c:pt idx="28">
                  <c:v>14</c:v>
                </c:pt>
                <c:pt idx="29">
                  <c:v>15</c:v>
                </c:pt>
                <c:pt idx="30">
                  <c:v>18</c:v>
                </c:pt>
                <c:pt idx="31">
                  <c:v>15</c:v>
                </c:pt>
                <c:pt idx="32">
                  <c:v>13</c:v>
                </c:pt>
                <c:pt idx="33">
                  <c:v>12</c:v>
                </c:pt>
                <c:pt idx="34">
                  <c:v>10</c:v>
                </c:pt>
                <c:pt idx="35">
                  <c:v>7</c:v>
                </c:pt>
                <c:pt idx="36">
                  <c:v>8</c:v>
                </c:pt>
                <c:pt idx="37">
                  <c:v>10</c:v>
                </c:pt>
                <c:pt idx="38">
                  <c:v>13</c:v>
                </c:pt>
                <c:pt idx="39">
                  <c:v>11</c:v>
                </c:pt>
                <c:pt idx="40">
                  <c:v>15</c:v>
                </c:pt>
                <c:pt idx="41">
                  <c:v>19</c:v>
                </c:pt>
                <c:pt idx="42">
                  <c:v>17</c:v>
                </c:pt>
                <c:pt idx="43">
                  <c:v>15</c:v>
                </c:pt>
                <c:pt idx="44">
                  <c:v>14</c:v>
                </c:pt>
                <c:pt idx="45">
                  <c:v>12</c:v>
                </c:pt>
                <c:pt idx="46">
                  <c:v>10</c:v>
                </c:pt>
                <c:pt idx="47">
                  <c:v>7</c:v>
                </c:pt>
                <c:pt idx="48">
                  <c:v>8</c:v>
                </c:pt>
                <c:pt idx="49">
                  <c:v>10</c:v>
                </c:pt>
                <c:pt idx="50">
                  <c:v>12</c:v>
                </c:pt>
                <c:pt idx="51">
                  <c:v>13</c:v>
                </c:pt>
                <c:pt idx="52">
                  <c:v>12</c:v>
                </c:pt>
                <c:pt idx="53">
                  <c:v>15</c:v>
                </c:pt>
                <c:pt idx="54">
                  <c:v>14</c:v>
                </c:pt>
                <c:pt idx="55">
                  <c:v>13</c:v>
                </c:pt>
                <c:pt idx="56">
                  <c:v>11</c:v>
                </c:pt>
                <c:pt idx="57">
                  <c:v>8</c:v>
                </c:pt>
                <c:pt idx="58">
                  <c:v>7</c:v>
                </c:pt>
                <c:pt idx="5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E2-4501-AEB3-9937FC650293}"/>
            </c:ext>
          </c:extLst>
        </c:ser>
        <c:ser>
          <c:idx val="5"/>
          <c:order val="4"/>
          <c:tx>
            <c:strRef>
              <c:f>'Complaints'!$G$1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'Complaints'!$A$2:$A$61</c:f>
              <c:numCache>
                <c:formatCode>mm/dd/yy;@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'Complaints'!$G$2:$G$61</c:f>
              <c:numCache>
                <c:formatCode>General</c:formatCode>
                <c:ptCount val="60"/>
                <c:pt idx="24">
                  <c:v>3</c:v>
                </c:pt>
                <c:pt idx="25">
                  <c:v>4</c:v>
                </c:pt>
                <c:pt idx="26">
                  <c:v>3</c:v>
                </c:pt>
                <c:pt idx="27">
                  <c:v>2</c:v>
                </c:pt>
                <c:pt idx="28">
                  <c:v>5</c:v>
                </c:pt>
                <c:pt idx="29">
                  <c:v>6</c:v>
                </c:pt>
                <c:pt idx="30">
                  <c:v>5</c:v>
                </c:pt>
                <c:pt idx="31">
                  <c:v>4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4</c:v>
                </c:pt>
                <c:pt idx="38">
                  <c:v>6</c:v>
                </c:pt>
                <c:pt idx="39">
                  <c:v>5</c:v>
                </c:pt>
                <c:pt idx="40">
                  <c:v>7</c:v>
                </c:pt>
                <c:pt idx="41">
                  <c:v>8</c:v>
                </c:pt>
                <c:pt idx="42">
                  <c:v>7</c:v>
                </c:pt>
                <c:pt idx="43">
                  <c:v>7</c:v>
                </c:pt>
                <c:pt idx="44">
                  <c:v>6</c:v>
                </c:pt>
                <c:pt idx="45">
                  <c:v>6</c:v>
                </c:pt>
                <c:pt idx="46">
                  <c:v>5</c:v>
                </c:pt>
                <c:pt idx="47">
                  <c:v>4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8</c:v>
                </c:pt>
                <c:pt idx="53">
                  <c:v>11</c:v>
                </c:pt>
                <c:pt idx="54">
                  <c:v>10</c:v>
                </c:pt>
                <c:pt idx="55">
                  <c:v>9</c:v>
                </c:pt>
                <c:pt idx="56">
                  <c:v>7</c:v>
                </c:pt>
                <c:pt idx="57">
                  <c:v>6</c:v>
                </c:pt>
                <c:pt idx="58">
                  <c:v>5</c:v>
                </c:pt>
                <c:pt idx="5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E2-4501-AEB3-9937FC650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alpha val="20000"/>
                </a:schemeClr>
              </a:solidFill>
              <a:round/>
            </a:ln>
            <a:effectLst/>
          </c:spPr>
        </c:dropLines>
        <c:axId val="1385333408"/>
        <c:axId val="1385327584"/>
      </c:areaChart>
      <c:dateAx>
        <c:axId val="1385333408"/>
        <c:scaling>
          <c:orientation val="minMax"/>
        </c:scaling>
        <c:delete val="0"/>
        <c:axPos val="b"/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327584"/>
        <c:crosses val="autoZero"/>
        <c:auto val="0"/>
        <c:lblOffset val="100"/>
        <c:baseTimeUnit val="months"/>
        <c:majorUnit val="4"/>
        <c:majorTimeUnit val="months"/>
        <c:minorUnit val="1"/>
        <c:minorTimeUnit val="years"/>
      </c:dateAx>
      <c:valAx>
        <c:axId val="138532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333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Customer Complaints per</a:t>
            </a:r>
            <a:r>
              <a:rPr lang="en-US" baseline="0"/>
              <a:t>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'Complaints'!$B$1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7731163559674765E-2"/>
                  <c:y val="-0.125917341318250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'Complaints'!$A$2:$A$61</c:f>
              <c:numCache>
                <c:formatCode>mm/dd/yy;@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'Complaints'!$B$2:$B$61</c:f>
              <c:numCache>
                <c:formatCode>General</c:formatCode>
                <c:ptCount val="60"/>
                <c:pt idx="0">
                  <c:v>169</c:v>
                </c:pt>
                <c:pt idx="1">
                  <c:v>187</c:v>
                </c:pt>
                <c:pt idx="2">
                  <c:v>210</c:v>
                </c:pt>
                <c:pt idx="3">
                  <c:v>226</c:v>
                </c:pt>
                <c:pt idx="4">
                  <c:v>232</c:v>
                </c:pt>
                <c:pt idx="5">
                  <c:v>261</c:v>
                </c:pt>
                <c:pt idx="6">
                  <c:v>245</c:v>
                </c:pt>
                <c:pt idx="7">
                  <c:v>223</c:v>
                </c:pt>
                <c:pt idx="8">
                  <c:v>195</c:v>
                </c:pt>
                <c:pt idx="9">
                  <c:v>174</c:v>
                </c:pt>
                <c:pt idx="10">
                  <c:v>154</c:v>
                </c:pt>
                <c:pt idx="11">
                  <c:v>163</c:v>
                </c:pt>
                <c:pt idx="12">
                  <c:v>195</c:v>
                </c:pt>
                <c:pt idx="13">
                  <c:v>221</c:v>
                </c:pt>
                <c:pt idx="14">
                  <c:v>240</c:v>
                </c:pt>
                <c:pt idx="15">
                  <c:v>264</c:v>
                </c:pt>
                <c:pt idx="16">
                  <c:v>283</c:v>
                </c:pt>
                <c:pt idx="17">
                  <c:v>296</c:v>
                </c:pt>
                <c:pt idx="18">
                  <c:v>269</c:v>
                </c:pt>
                <c:pt idx="19">
                  <c:v>256</c:v>
                </c:pt>
                <c:pt idx="20">
                  <c:v>231</c:v>
                </c:pt>
                <c:pt idx="21">
                  <c:v>214</c:v>
                </c:pt>
                <c:pt idx="22">
                  <c:v>201</c:v>
                </c:pt>
                <c:pt idx="23">
                  <c:v>171</c:v>
                </c:pt>
                <c:pt idx="24">
                  <c:v>200</c:v>
                </c:pt>
                <c:pt idx="25">
                  <c:v>216</c:v>
                </c:pt>
                <c:pt idx="26">
                  <c:v>234</c:v>
                </c:pt>
                <c:pt idx="27">
                  <c:v>253</c:v>
                </c:pt>
                <c:pt idx="28">
                  <c:v>282</c:v>
                </c:pt>
                <c:pt idx="29">
                  <c:v>305</c:v>
                </c:pt>
                <c:pt idx="30">
                  <c:v>296</c:v>
                </c:pt>
                <c:pt idx="31">
                  <c:v>279</c:v>
                </c:pt>
                <c:pt idx="32">
                  <c:v>266</c:v>
                </c:pt>
                <c:pt idx="33">
                  <c:v>243</c:v>
                </c:pt>
                <c:pt idx="34">
                  <c:v>232</c:v>
                </c:pt>
                <c:pt idx="35">
                  <c:v>203</c:v>
                </c:pt>
                <c:pt idx="36">
                  <c:v>216</c:v>
                </c:pt>
                <c:pt idx="37">
                  <c:v>239</c:v>
                </c:pt>
                <c:pt idx="38">
                  <c:v>266</c:v>
                </c:pt>
                <c:pt idx="39">
                  <c:v>284</c:v>
                </c:pt>
                <c:pt idx="40">
                  <c:v>315</c:v>
                </c:pt>
                <c:pt idx="41">
                  <c:v>340</c:v>
                </c:pt>
                <c:pt idx="42">
                  <c:v>319</c:v>
                </c:pt>
                <c:pt idx="43">
                  <c:v>304</c:v>
                </c:pt>
                <c:pt idx="44">
                  <c:v>277</c:v>
                </c:pt>
                <c:pt idx="45">
                  <c:v>250</c:v>
                </c:pt>
                <c:pt idx="46">
                  <c:v>228</c:v>
                </c:pt>
                <c:pt idx="47">
                  <c:v>213</c:v>
                </c:pt>
                <c:pt idx="48">
                  <c:v>240</c:v>
                </c:pt>
                <c:pt idx="49">
                  <c:v>251</c:v>
                </c:pt>
                <c:pt idx="50">
                  <c:v>281</c:v>
                </c:pt>
                <c:pt idx="51">
                  <c:v>298</c:v>
                </c:pt>
                <c:pt idx="52">
                  <c:v>322</c:v>
                </c:pt>
                <c:pt idx="53">
                  <c:v>350</c:v>
                </c:pt>
                <c:pt idx="54">
                  <c:v>330</c:v>
                </c:pt>
                <c:pt idx="55">
                  <c:v>311</c:v>
                </c:pt>
                <c:pt idx="56">
                  <c:v>289</c:v>
                </c:pt>
                <c:pt idx="57">
                  <c:v>265</c:v>
                </c:pt>
                <c:pt idx="58">
                  <c:v>239</c:v>
                </c:pt>
                <c:pt idx="59">
                  <c:v>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23-48DA-81C6-7878D878C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3190032"/>
        <c:axId val="1363207504"/>
      </c:lineChart>
      <c:dateAx>
        <c:axId val="1363190032"/>
        <c:scaling>
          <c:orientation val="minMax"/>
        </c:scaling>
        <c:delete val="0"/>
        <c:axPos val="b"/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207504"/>
        <c:crosses val="autoZero"/>
        <c:auto val="1"/>
        <c:lblOffset val="100"/>
        <c:baseTimeUnit val="months"/>
        <c:majorUnit val="4"/>
        <c:majorTimeUnit val="months"/>
      </c:dateAx>
      <c:valAx>
        <c:axId val="136320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19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</a:t>
            </a:r>
            <a:r>
              <a:rPr lang="en-US" baseline="0"/>
              <a:t> Complaints by Sales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'Complaints'!$H$1</c:f>
              <c:strCache>
                <c:ptCount val="1"/>
                <c:pt idx="0">
                  <c:v>Complaints of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014806642098942E-2"/>
                  <c:y val="-0.12042694343350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'Complaints'!$A$2:$A$61</c:f>
              <c:numCache>
                <c:formatCode>mm/dd/yy;@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'Complaints'!$H$2:$H$61</c:f>
              <c:numCache>
                <c:formatCode>0.00%</c:formatCode>
                <c:ptCount val="60"/>
                <c:pt idx="0">
                  <c:v>1.9623780771017185E-2</c:v>
                </c:pt>
                <c:pt idx="1">
                  <c:v>1.701392048039305E-2</c:v>
                </c:pt>
                <c:pt idx="2">
                  <c:v>1.8119068162208801E-2</c:v>
                </c:pt>
                <c:pt idx="3">
                  <c:v>1.7428857869977634E-2</c:v>
                </c:pt>
                <c:pt idx="4">
                  <c:v>1.6923189145816617E-2</c:v>
                </c:pt>
                <c:pt idx="5">
                  <c:v>1.8669527896995709E-2</c:v>
                </c:pt>
                <c:pt idx="6">
                  <c:v>1.9497055546713354E-2</c:v>
                </c:pt>
                <c:pt idx="7">
                  <c:v>1.8938428874734608E-2</c:v>
                </c:pt>
                <c:pt idx="8">
                  <c:v>1.9285926218969438E-2</c:v>
                </c:pt>
                <c:pt idx="9">
                  <c:v>1.868356061419521E-2</c:v>
                </c:pt>
                <c:pt idx="10">
                  <c:v>1.817109144542773E-2</c:v>
                </c:pt>
                <c:pt idx="11">
                  <c:v>2.2207084468664848E-2</c:v>
                </c:pt>
                <c:pt idx="12">
                  <c:v>2.2207037922787838E-2</c:v>
                </c:pt>
                <c:pt idx="13">
                  <c:v>1.9972887483054678E-2</c:v>
                </c:pt>
                <c:pt idx="14">
                  <c:v>1.968503937007874E-2</c:v>
                </c:pt>
                <c:pt idx="15">
                  <c:v>1.9954648526077097E-2</c:v>
                </c:pt>
                <c:pt idx="16">
                  <c:v>2.0656934306569345E-2</c:v>
                </c:pt>
                <c:pt idx="17">
                  <c:v>2.0356234096692113E-2</c:v>
                </c:pt>
                <c:pt idx="18">
                  <c:v>2.0894826782662732E-2</c:v>
                </c:pt>
                <c:pt idx="19">
                  <c:v>2.1702271956595458E-2</c:v>
                </c:pt>
                <c:pt idx="20">
                  <c:v>2.2222222222222223E-2</c:v>
                </c:pt>
                <c:pt idx="21">
                  <c:v>2.2573839662447259E-2</c:v>
                </c:pt>
                <c:pt idx="22">
                  <c:v>2.455411678475446E-2</c:v>
                </c:pt>
                <c:pt idx="23">
                  <c:v>2.368421052631579E-2</c:v>
                </c:pt>
                <c:pt idx="24">
                  <c:v>2.2296544035674472E-2</c:v>
                </c:pt>
                <c:pt idx="25">
                  <c:v>1.8808777429467086E-2</c:v>
                </c:pt>
                <c:pt idx="26">
                  <c:v>1.8749999999999999E-2</c:v>
                </c:pt>
                <c:pt idx="27">
                  <c:v>1.847794332456909E-2</c:v>
                </c:pt>
                <c:pt idx="28">
                  <c:v>1.9368131868131869E-2</c:v>
                </c:pt>
                <c:pt idx="29">
                  <c:v>2.0208043463857416E-2</c:v>
                </c:pt>
                <c:pt idx="30">
                  <c:v>2.1643755484059668E-2</c:v>
                </c:pt>
                <c:pt idx="31">
                  <c:v>2.3094114725602185E-2</c:v>
                </c:pt>
                <c:pt idx="32">
                  <c:v>2.4845880814496544E-2</c:v>
                </c:pt>
                <c:pt idx="33">
                  <c:v>2.4956352059155796E-2</c:v>
                </c:pt>
                <c:pt idx="34">
                  <c:v>2.5910207728389548E-2</c:v>
                </c:pt>
                <c:pt idx="35">
                  <c:v>2.7321668909825035E-2</c:v>
                </c:pt>
                <c:pt idx="36">
                  <c:v>2.3396880415944541E-2</c:v>
                </c:pt>
                <c:pt idx="37">
                  <c:v>2.032312925170068E-2</c:v>
                </c:pt>
                <c:pt idx="38">
                  <c:v>2.0593016954401178E-2</c:v>
                </c:pt>
                <c:pt idx="39">
                  <c:v>1.9724961800250036E-2</c:v>
                </c:pt>
                <c:pt idx="40">
                  <c:v>2.0737327188940093E-2</c:v>
                </c:pt>
                <c:pt idx="41">
                  <c:v>2.1975180972078595E-2</c:v>
                </c:pt>
                <c:pt idx="42">
                  <c:v>2.2137404580152672E-2</c:v>
                </c:pt>
                <c:pt idx="43">
                  <c:v>2.3222060957910014E-2</c:v>
                </c:pt>
                <c:pt idx="44">
                  <c:v>2.3922618533552119E-2</c:v>
                </c:pt>
                <c:pt idx="45">
                  <c:v>2.3536057239691207E-2</c:v>
                </c:pt>
                <c:pt idx="46">
                  <c:v>2.3856858846918488E-2</c:v>
                </c:pt>
                <c:pt idx="47">
                  <c:v>2.3465902831331938E-2</c:v>
                </c:pt>
                <c:pt idx="48">
                  <c:v>2.4239975760024238E-2</c:v>
                </c:pt>
                <c:pt idx="49">
                  <c:v>2.0146079139577815E-2</c:v>
                </c:pt>
                <c:pt idx="50">
                  <c:v>2.0702865983938702E-2</c:v>
                </c:pt>
                <c:pt idx="51">
                  <c:v>2.011474856564293E-2</c:v>
                </c:pt>
                <c:pt idx="52">
                  <c:v>2.0682124735050419E-2</c:v>
                </c:pt>
                <c:pt idx="53">
                  <c:v>2.1137818577122842E-2</c:v>
                </c:pt>
                <c:pt idx="54">
                  <c:v>2.072603944228112E-2</c:v>
                </c:pt>
                <c:pt idx="55">
                  <c:v>2.2601744186046512E-2</c:v>
                </c:pt>
                <c:pt idx="56">
                  <c:v>2.2752322468902537E-2</c:v>
                </c:pt>
                <c:pt idx="57">
                  <c:v>2.3366546159950621E-2</c:v>
                </c:pt>
                <c:pt idx="58">
                  <c:v>2.3273931249391373E-2</c:v>
                </c:pt>
                <c:pt idx="59">
                  <c:v>2.3377455166524338E-2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D0-479B-B8E6-4E193A887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3229552"/>
        <c:axId val="1363210000"/>
      </c:lineChart>
      <c:dateAx>
        <c:axId val="1363229552"/>
        <c:scaling>
          <c:orientation val="minMax"/>
        </c:scaling>
        <c:delete val="0"/>
        <c:axPos val="b"/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210000"/>
        <c:crosses val="autoZero"/>
        <c:auto val="1"/>
        <c:lblOffset val="100"/>
        <c:baseTimeUnit val="months"/>
        <c:majorUnit val="4"/>
        <c:majorTimeUnit val="months"/>
      </c:dateAx>
      <c:valAx>
        <c:axId val="1363210000"/>
        <c:scaling>
          <c:orientation val="minMax"/>
          <c:max val="3.0000000000000006E-2"/>
          <c:min val="1.5000000000000003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229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Mower Sales by Region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'Mower Unit Sales'!$B$1</c:f>
              <c:strCache>
                <c:ptCount val="1"/>
                <c:pt idx="0">
                  <c:v>NA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'Mower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'Mower Unit Sales'!$B$2:$B$61</c:f>
              <c:numCache>
                <c:formatCode>General</c:formatCode>
                <c:ptCount val="60"/>
                <c:pt idx="0">
                  <c:v>6000</c:v>
                </c:pt>
                <c:pt idx="1">
                  <c:v>7950</c:v>
                </c:pt>
                <c:pt idx="2">
                  <c:v>8100</c:v>
                </c:pt>
                <c:pt idx="3">
                  <c:v>9050</c:v>
                </c:pt>
                <c:pt idx="4">
                  <c:v>9900</c:v>
                </c:pt>
                <c:pt idx="5">
                  <c:v>10200</c:v>
                </c:pt>
                <c:pt idx="6">
                  <c:v>8730</c:v>
                </c:pt>
                <c:pt idx="7">
                  <c:v>8140</c:v>
                </c:pt>
                <c:pt idx="8">
                  <c:v>6480</c:v>
                </c:pt>
                <c:pt idx="9">
                  <c:v>5990</c:v>
                </c:pt>
                <c:pt idx="10">
                  <c:v>5320</c:v>
                </c:pt>
                <c:pt idx="11">
                  <c:v>4640</c:v>
                </c:pt>
                <c:pt idx="12">
                  <c:v>5980</c:v>
                </c:pt>
                <c:pt idx="13">
                  <c:v>7620</c:v>
                </c:pt>
                <c:pt idx="14">
                  <c:v>8370</c:v>
                </c:pt>
                <c:pt idx="15">
                  <c:v>8830</c:v>
                </c:pt>
                <c:pt idx="16">
                  <c:v>9310</c:v>
                </c:pt>
                <c:pt idx="17">
                  <c:v>10230</c:v>
                </c:pt>
                <c:pt idx="18">
                  <c:v>8720</c:v>
                </c:pt>
                <c:pt idx="19">
                  <c:v>7710</c:v>
                </c:pt>
                <c:pt idx="20">
                  <c:v>6320</c:v>
                </c:pt>
                <c:pt idx="21">
                  <c:v>5840</c:v>
                </c:pt>
                <c:pt idx="22">
                  <c:v>4960</c:v>
                </c:pt>
                <c:pt idx="23">
                  <c:v>4350</c:v>
                </c:pt>
                <c:pt idx="24">
                  <c:v>6020</c:v>
                </c:pt>
                <c:pt idx="25">
                  <c:v>7920</c:v>
                </c:pt>
                <c:pt idx="26">
                  <c:v>8430</c:v>
                </c:pt>
                <c:pt idx="27">
                  <c:v>9040</c:v>
                </c:pt>
                <c:pt idx="28">
                  <c:v>9820</c:v>
                </c:pt>
                <c:pt idx="29">
                  <c:v>10370</c:v>
                </c:pt>
                <c:pt idx="30">
                  <c:v>9050</c:v>
                </c:pt>
                <c:pt idx="31">
                  <c:v>7620</c:v>
                </c:pt>
                <c:pt idx="32">
                  <c:v>6420</c:v>
                </c:pt>
                <c:pt idx="33">
                  <c:v>5890</c:v>
                </c:pt>
                <c:pt idx="34">
                  <c:v>5340</c:v>
                </c:pt>
                <c:pt idx="35">
                  <c:v>4430</c:v>
                </c:pt>
                <c:pt idx="36">
                  <c:v>6100</c:v>
                </c:pt>
                <c:pt idx="37">
                  <c:v>8010</c:v>
                </c:pt>
                <c:pt idx="38">
                  <c:v>8430</c:v>
                </c:pt>
                <c:pt idx="39">
                  <c:v>9110</c:v>
                </c:pt>
                <c:pt idx="40">
                  <c:v>9730</c:v>
                </c:pt>
                <c:pt idx="41">
                  <c:v>10120</c:v>
                </c:pt>
                <c:pt idx="42">
                  <c:v>9080</c:v>
                </c:pt>
                <c:pt idx="43">
                  <c:v>7820</c:v>
                </c:pt>
                <c:pt idx="44">
                  <c:v>6540</c:v>
                </c:pt>
                <c:pt idx="45">
                  <c:v>6010</c:v>
                </c:pt>
                <c:pt idx="46">
                  <c:v>5270</c:v>
                </c:pt>
                <c:pt idx="47">
                  <c:v>5380</c:v>
                </c:pt>
                <c:pt idx="48">
                  <c:v>6210</c:v>
                </c:pt>
                <c:pt idx="49">
                  <c:v>8030</c:v>
                </c:pt>
                <c:pt idx="50">
                  <c:v>8540</c:v>
                </c:pt>
                <c:pt idx="51">
                  <c:v>9120</c:v>
                </c:pt>
                <c:pt idx="52">
                  <c:v>9570</c:v>
                </c:pt>
                <c:pt idx="53">
                  <c:v>10230</c:v>
                </c:pt>
                <c:pt idx="54">
                  <c:v>9580</c:v>
                </c:pt>
                <c:pt idx="55">
                  <c:v>7680</c:v>
                </c:pt>
                <c:pt idx="56">
                  <c:v>6870</c:v>
                </c:pt>
                <c:pt idx="57">
                  <c:v>5930</c:v>
                </c:pt>
                <c:pt idx="58">
                  <c:v>5260</c:v>
                </c:pt>
                <c:pt idx="59">
                  <c:v>4830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7D-4995-BE77-33ADE67AAB8A}"/>
            </c:ext>
          </c:extLst>
        </c:ser>
        <c:ser>
          <c:idx val="1"/>
          <c:order val="1"/>
          <c:tx>
            <c:strRef>
              <c:f>'Mower Unit Sales'!$C$1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'Mower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'Mower Unit Sales'!$C$2:$C$61</c:f>
              <c:numCache>
                <c:formatCode>General</c:formatCode>
                <c:ptCount val="60"/>
                <c:pt idx="0">
                  <c:v>200</c:v>
                </c:pt>
                <c:pt idx="1">
                  <c:v>220</c:v>
                </c:pt>
                <c:pt idx="2">
                  <c:v>250</c:v>
                </c:pt>
                <c:pt idx="3">
                  <c:v>280</c:v>
                </c:pt>
                <c:pt idx="4">
                  <c:v>310</c:v>
                </c:pt>
                <c:pt idx="5">
                  <c:v>300</c:v>
                </c:pt>
                <c:pt idx="6">
                  <c:v>280</c:v>
                </c:pt>
                <c:pt idx="7">
                  <c:v>250</c:v>
                </c:pt>
                <c:pt idx="8">
                  <c:v>230</c:v>
                </c:pt>
                <c:pt idx="9">
                  <c:v>220</c:v>
                </c:pt>
                <c:pt idx="10">
                  <c:v>210</c:v>
                </c:pt>
                <c:pt idx="11">
                  <c:v>180</c:v>
                </c:pt>
                <c:pt idx="12">
                  <c:v>210</c:v>
                </c:pt>
                <c:pt idx="13">
                  <c:v>240</c:v>
                </c:pt>
                <c:pt idx="14">
                  <c:v>250</c:v>
                </c:pt>
                <c:pt idx="15">
                  <c:v>290</c:v>
                </c:pt>
                <c:pt idx="16">
                  <c:v>330</c:v>
                </c:pt>
                <c:pt idx="17">
                  <c:v>310</c:v>
                </c:pt>
                <c:pt idx="18">
                  <c:v>290</c:v>
                </c:pt>
                <c:pt idx="19">
                  <c:v>270</c:v>
                </c:pt>
                <c:pt idx="20">
                  <c:v>250</c:v>
                </c:pt>
                <c:pt idx="21">
                  <c:v>250</c:v>
                </c:pt>
                <c:pt idx="22">
                  <c:v>240</c:v>
                </c:pt>
                <c:pt idx="23">
                  <c:v>210</c:v>
                </c:pt>
                <c:pt idx="24">
                  <c:v>220</c:v>
                </c:pt>
                <c:pt idx="25">
                  <c:v>250</c:v>
                </c:pt>
                <c:pt idx="26">
                  <c:v>270</c:v>
                </c:pt>
                <c:pt idx="27">
                  <c:v>310</c:v>
                </c:pt>
                <c:pt idx="28">
                  <c:v>360</c:v>
                </c:pt>
                <c:pt idx="29">
                  <c:v>330</c:v>
                </c:pt>
                <c:pt idx="30">
                  <c:v>310</c:v>
                </c:pt>
                <c:pt idx="31">
                  <c:v>300</c:v>
                </c:pt>
                <c:pt idx="32">
                  <c:v>280</c:v>
                </c:pt>
                <c:pt idx="33">
                  <c:v>270</c:v>
                </c:pt>
                <c:pt idx="34">
                  <c:v>260</c:v>
                </c:pt>
                <c:pt idx="35">
                  <c:v>230</c:v>
                </c:pt>
                <c:pt idx="36">
                  <c:v>250</c:v>
                </c:pt>
                <c:pt idx="37">
                  <c:v>270</c:v>
                </c:pt>
                <c:pt idx="38">
                  <c:v>280</c:v>
                </c:pt>
                <c:pt idx="39">
                  <c:v>320</c:v>
                </c:pt>
                <c:pt idx="40">
                  <c:v>380</c:v>
                </c:pt>
                <c:pt idx="41">
                  <c:v>360</c:v>
                </c:pt>
                <c:pt idx="42">
                  <c:v>320</c:v>
                </c:pt>
                <c:pt idx="43">
                  <c:v>310</c:v>
                </c:pt>
                <c:pt idx="44">
                  <c:v>300</c:v>
                </c:pt>
                <c:pt idx="45">
                  <c:v>290</c:v>
                </c:pt>
                <c:pt idx="46">
                  <c:v>270</c:v>
                </c:pt>
                <c:pt idx="47">
                  <c:v>260</c:v>
                </c:pt>
                <c:pt idx="48">
                  <c:v>270</c:v>
                </c:pt>
                <c:pt idx="49">
                  <c:v>280</c:v>
                </c:pt>
                <c:pt idx="50">
                  <c:v>300</c:v>
                </c:pt>
                <c:pt idx="51">
                  <c:v>340</c:v>
                </c:pt>
                <c:pt idx="52">
                  <c:v>390</c:v>
                </c:pt>
                <c:pt idx="53">
                  <c:v>380</c:v>
                </c:pt>
                <c:pt idx="54">
                  <c:v>350</c:v>
                </c:pt>
                <c:pt idx="55">
                  <c:v>340</c:v>
                </c:pt>
                <c:pt idx="56">
                  <c:v>320</c:v>
                </c:pt>
                <c:pt idx="57">
                  <c:v>310</c:v>
                </c:pt>
                <c:pt idx="58">
                  <c:v>300</c:v>
                </c:pt>
                <c:pt idx="59">
                  <c:v>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7D-4995-BE77-33ADE67AAB8A}"/>
            </c:ext>
          </c:extLst>
        </c:ser>
        <c:ser>
          <c:idx val="2"/>
          <c:order val="2"/>
          <c:tx>
            <c:strRef>
              <c:f>'Mower Unit Sales'!$D$1</c:f>
              <c:strCache>
                <c:ptCount val="1"/>
                <c:pt idx="0">
                  <c:v>Europe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'Mower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'Mower Unit Sales'!$D$2:$D$61</c:f>
              <c:numCache>
                <c:formatCode>General</c:formatCode>
                <c:ptCount val="60"/>
                <c:pt idx="0">
                  <c:v>720</c:v>
                </c:pt>
                <c:pt idx="1">
                  <c:v>990</c:v>
                </c:pt>
                <c:pt idx="2">
                  <c:v>1320</c:v>
                </c:pt>
                <c:pt idx="3">
                  <c:v>1650</c:v>
                </c:pt>
                <c:pt idx="4">
                  <c:v>1590</c:v>
                </c:pt>
                <c:pt idx="5">
                  <c:v>1620</c:v>
                </c:pt>
                <c:pt idx="6">
                  <c:v>1590</c:v>
                </c:pt>
                <c:pt idx="7">
                  <c:v>1560</c:v>
                </c:pt>
                <c:pt idx="8">
                  <c:v>1590</c:v>
                </c:pt>
                <c:pt idx="9">
                  <c:v>1320</c:v>
                </c:pt>
                <c:pt idx="10">
                  <c:v>990</c:v>
                </c:pt>
                <c:pt idx="11">
                  <c:v>660</c:v>
                </c:pt>
                <c:pt idx="12">
                  <c:v>690</c:v>
                </c:pt>
                <c:pt idx="13">
                  <c:v>1020</c:v>
                </c:pt>
                <c:pt idx="14">
                  <c:v>1290</c:v>
                </c:pt>
                <c:pt idx="15">
                  <c:v>1620</c:v>
                </c:pt>
                <c:pt idx="16">
                  <c:v>1650</c:v>
                </c:pt>
                <c:pt idx="17">
                  <c:v>1590</c:v>
                </c:pt>
                <c:pt idx="18">
                  <c:v>1560</c:v>
                </c:pt>
                <c:pt idx="19">
                  <c:v>1530</c:v>
                </c:pt>
                <c:pt idx="20">
                  <c:v>1590</c:v>
                </c:pt>
                <c:pt idx="21">
                  <c:v>1260</c:v>
                </c:pt>
                <c:pt idx="22">
                  <c:v>900</c:v>
                </c:pt>
                <c:pt idx="23">
                  <c:v>660</c:v>
                </c:pt>
                <c:pt idx="24">
                  <c:v>570</c:v>
                </c:pt>
                <c:pt idx="25">
                  <c:v>840</c:v>
                </c:pt>
                <c:pt idx="26">
                  <c:v>1110</c:v>
                </c:pt>
                <c:pt idx="27">
                  <c:v>1500</c:v>
                </c:pt>
                <c:pt idx="28">
                  <c:v>1440</c:v>
                </c:pt>
                <c:pt idx="29">
                  <c:v>1410</c:v>
                </c:pt>
                <c:pt idx="30">
                  <c:v>1440</c:v>
                </c:pt>
                <c:pt idx="31">
                  <c:v>1410</c:v>
                </c:pt>
                <c:pt idx="32">
                  <c:v>1350</c:v>
                </c:pt>
                <c:pt idx="33">
                  <c:v>1080</c:v>
                </c:pt>
                <c:pt idx="34">
                  <c:v>840</c:v>
                </c:pt>
                <c:pt idx="35">
                  <c:v>510</c:v>
                </c:pt>
                <c:pt idx="36">
                  <c:v>480</c:v>
                </c:pt>
                <c:pt idx="37">
                  <c:v>750</c:v>
                </c:pt>
                <c:pt idx="38">
                  <c:v>1140</c:v>
                </c:pt>
                <c:pt idx="39">
                  <c:v>1410</c:v>
                </c:pt>
                <c:pt idx="40">
                  <c:v>1340</c:v>
                </c:pt>
                <c:pt idx="41">
                  <c:v>1360</c:v>
                </c:pt>
                <c:pt idx="42">
                  <c:v>1410</c:v>
                </c:pt>
                <c:pt idx="43">
                  <c:v>1490</c:v>
                </c:pt>
                <c:pt idx="44">
                  <c:v>1310</c:v>
                </c:pt>
                <c:pt idx="45">
                  <c:v>980</c:v>
                </c:pt>
                <c:pt idx="46">
                  <c:v>770</c:v>
                </c:pt>
                <c:pt idx="47">
                  <c:v>430</c:v>
                </c:pt>
                <c:pt idx="48">
                  <c:v>400</c:v>
                </c:pt>
                <c:pt idx="49">
                  <c:v>750</c:v>
                </c:pt>
                <c:pt idx="50">
                  <c:v>970</c:v>
                </c:pt>
                <c:pt idx="51">
                  <c:v>1310</c:v>
                </c:pt>
                <c:pt idx="52">
                  <c:v>1260</c:v>
                </c:pt>
                <c:pt idx="53">
                  <c:v>1240</c:v>
                </c:pt>
                <c:pt idx="54">
                  <c:v>1300</c:v>
                </c:pt>
                <c:pt idx="55">
                  <c:v>1250</c:v>
                </c:pt>
                <c:pt idx="56">
                  <c:v>1210</c:v>
                </c:pt>
                <c:pt idx="57">
                  <c:v>970</c:v>
                </c:pt>
                <c:pt idx="58">
                  <c:v>650</c:v>
                </c:pt>
                <c:pt idx="59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7D-4995-BE77-33ADE67AAB8A}"/>
            </c:ext>
          </c:extLst>
        </c:ser>
        <c:ser>
          <c:idx val="3"/>
          <c:order val="3"/>
          <c:tx>
            <c:strRef>
              <c:f>'Mower Unit Sales'!$E$1</c:f>
              <c:strCache>
                <c:ptCount val="1"/>
                <c:pt idx="0">
                  <c:v>Pacific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'Mower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'Mower Unit Sales'!$E$2:$E$61</c:f>
              <c:numCache>
                <c:formatCode>General</c:formatCode>
                <c:ptCount val="60"/>
                <c:pt idx="0">
                  <c:v>100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130</c:v>
                </c:pt>
                <c:pt idx="5">
                  <c:v>120</c:v>
                </c:pt>
                <c:pt idx="6">
                  <c:v>140</c:v>
                </c:pt>
                <c:pt idx="7">
                  <c:v>130</c:v>
                </c:pt>
                <c:pt idx="8">
                  <c:v>130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140</c:v>
                </c:pt>
                <c:pt idx="13">
                  <c:v>150</c:v>
                </c:pt>
                <c:pt idx="14">
                  <c:v>140</c:v>
                </c:pt>
                <c:pt idx="15">
                  <c:v>150</c:v>
                </c:pt>
                <c:pt idx="16">
                  <c:v>130</c:v>
                </c:pt>
                <c:pt idx="17">
                  <c:v>140</c:v>
                </c:pt>
                <c:pt idx="18">
                  <c:v>150</c:v>
                </c:pt>
                <c:pt idx="19">
                  <c:v>140</c:v>
                </c:pt>
                <c:pt idx="20">
                  <c:v>150</c:v>
                </c:pt>
                <c:pt idx="21">
                  <c:v>160</c:v>
                </c:pt>
                <c:pt idx="22">
                  <c:v>150</c:v>
                </c:pt>
                <c:pt idx="23">
                  <c:v>150</c:v>
                </c:pt>
                <c:pt idx="24">
                  <c:v>160</c:v>
                </c:pt>
                <c:pt idx="25">
                  <c:v>150</c:v>
                </c:pt>
                <c:pt idx="26">
                  <c:v>160</c:v>
                </c:pt>
                <c:pt idx="27">
                  <c:v>170</c:v>
                </c:pt>
                <c:pt idx="28">
                  <c:v>160</c:v>
                </c:pt>
                <c:pt idx="29">
                  <c:v>170</c:v>
                </c:pt>
                <c:pt idx="30">
                  <c:v>160</c:v>
                </c:pt>
                <c:pt idx="31">
                  <c:v>170</c:v>
                </c:pt>
                <c:pt idx="32">
                  <c:v>180</c:v>
                </c:pt>
                <c:pt idx="33">
                  <c:v>180</c:v>
                </c:pt>
                <c:pt idx="34">
                  <c:v>190</c:v>
                </c:pt>
                <c:pt idx="35">
                  <c:v>180</c:v>
                </c:pt>
                <c:pt idx="36">
                  <c:v>200</c:v>
                </c:pt>
                <c:pt idx="37">
                  <c:v>190</c:v>
                </c:pt>
                <c:pt idx="38">
                  <c:v>200</c:v>
                </c:pt>
                <c:pt idx="39">
                  <c:v>210</c:v>
                </c:pt>
                <c:pt idx="40">
                  <c:v>190</c:v>
                </c:pt>
                <c:pt idx="41">
                  <c:v>200</c:v>
                </c:pt>
                <c:pt idx="42">
                  <c:v>200</c:v>
                </c:pt>
                <c:pt idx="43">
                  <c:v>210</c:v>
                </c:pt>
                <c:pt idx="44">
                  <c:v>220</c:v>
                </c:pt>
                <c:pt idx="45">
                  <c:v>210</c:v>
                </c:pt>
                <c:pt idx="46">
                  <c:v>220</c:v>
                </c:pt>
                <c:pt idx="47">
                  <c:v>230</c:v>
                </c:pt>
                <c:pt idx="48">
                  <c:v>200</c:v>
                </c:pt>
                <c:pt idx="49">
                  <c:v>190</c:v>
                </c:pt>
                <c:pt idx="50">
                  <c:v>210</c:v>
                </c:pt>
                <c:pt idx="51">
                  <c:v>220</c:v>
                </c:pt>
                <c:pt idx="52">
                  <c:v>200</c:v>
                </c:pt>
                <c:pt idx="53">
                  <c:v>210</c:v>
                </c:pt>
                <c:pt idx="54">
                  <c:v>230</c:v>
                </c:pt>
                <c:pt idx="55">
                  <c:v>220</c:v>
                </c:pt>
                <c:pt idx="56">
                  <c:v>220</c:v>
                </c:pt>
                <c:pt idx="57">
                  <c:v>230</c:v>
                </c:pt>
                <c:pt idx="58">
                  <c:v>240</c:v>
                </c:pt>
                <c:pt idx="59">
                  <c:v>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7D-4995-BE77-33ADE67AAB8A}"/>
            </c:ext>
          </c:extLst>
        </c:ser>
        <c:ser>
          <c:idx val="4"/>
          <c:order val="4"/>
          <c:tx>
            <c:strRef>
              <c:f>'Mower Unit Sales'!$F$1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'Mower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'Mower Unit Sales'!$F$2:$F$61</c:f>
              <c:numCache>
                <c:formatCode>General</c:formatCode>
                <c:ptCount val="60"/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5</c:v>
                </c:pt>
                <c:pt idx="52">
                  <c:v>16</c:v>
                </c:pt>
                <c:pt idx="53">
                  <c:v>22</c:v>
                </c:pt>
                <c:pt idx="54">
                  <c:v>26</c:v>
                </c:pt>
                <c:pt idx="55">
                  <c:v>14</c:v>
                </c:pt>
                <c:pt idx="56">
                  <c:v>15</c:v>
                </c:pt>
                <c:pt idx="57">
                  <c:v>11</c:v>
                </c:pt>
                <c:pt idx="58">
                  <c:v>3</c:v>
                </c:pt>
                <c:pt idx="5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7D-4995-BE77-33ADE67AA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8718992"/>
        <c:axId val="1578729808"/>
      </c:lineChart>
      <c:dateAx>
        <c:axId val="15787189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729808"/>
        <c:crosses val="autoZero"/>
        <c:auto val="1"/>
        <c:lblOffset val="100"/>
        <c:baseTimeUnit val="months"/>
        <c:majorUnit val="4"/>
        <c:majorTimeUnit val="months"/>
      </c:dateAx>
      <c:valAx>
        <c:axId val="157872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71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Mower Market Share per</a:t>
            </a:r>
            <a:r>
              <a:rPr lang="en-US" baseline="0"/>
              <a:t>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8182195975503064E-2"/>
                  <c:y val="-0.159358048993875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'Mower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'Mower Unit Sales'!$M$2:$M$61</c:f>
              <c:numCache>
                <c:formatCode>0.00%</c:formatCode>
                <c:ptCount val="60"/>
                <c:pt idx="0">
                  <c:v>9.4023308401461114E-2</c:v>
                </c:pt>
                <c:pt idx="1">
                  <c:v>9.6080913709673879E-2</c:v>
                </c:pt>
                <c:pt idx="2">
                  <c:v>9.5536648916232231E-2</c:v>
                </c:pt>
                <c:pt idx="3">
                  <c:v>9.5548417260414187E-2</c:v>
                </c:pt>
                <c:pt idx="4">
                  <c:v>9.4524932639377043E-2</c:v>
                </c:pt>
                <c:pt idx="5">
                  <c:v>9.4322379634550882E-2</c:v>
                </c:pt>
                <c:pt idx="6">
                  <c:v>9.2260563576060189E-2</c:v>
                </c:pt>
                <c:pt idx="7">
                  <c:v>9.1519096650239801E-2</c:v>
                </c:pt>
                <c:pt idx="8">
                  <c:v>8.8676212525621939E-2</c:v>
                </c:pt>
                <c:pt idx="9">
                  <c:v>8.9473876881841385E-2</c:v>
                </c:pt>
                <c:pt idx="10">
                  <c:v>9.2397517983620989E-2</c:v>
                </c:pt>
                <c:pt idx="11">
                  <c:v>9.4694016327452141E-2</c:v>
                </c:pt>
                <c:pt idx="12">
                  <c:v>9.5638816421364709E-2</c:v>
                </c:pt>
                <c:pt idx="13">
                  <c:v>9.3531686396543107E-2</c:v>
                </c:pt>
                <c:pt idx="14">
                  <c:v>9.2379288038554636E-2</c:v>
                </c:pt>
                <c:pt idx="15">
                  <c:v>9.3408657068956152E-2</c:v>
                </c:pt>
                <c:pt idx="16">
                  <c:v>9.1634615871930711E-2</c:v>
                </c:pt>
                <c:pt idx="17">
                  <c:v>0.10009384162736537</c:v>
                </c:pt>
                <c:pt idx="18">
                  <c:v>9.5209089001972474E-2</c:v>
                </c:pt>
                <c:pt idx="19">
                  <c:v>9.2642014563243294E-2</c:v>
                </c:pt>
                <c:pt idx="20">
                  <c:v>9.0090535095244409E-2</c:v>
                </c:pt>
                <c:pt idx="21">
                  <c:v>9.2180855834267217E-2</c:v>
                </c:pt>
                <c:pt idx="22">
                  <c:v>9.2749494457875309E-2</c:v>
                </c:pt>
                <c:pt idx="23">
                  <c:v>9.3408655119297995E-2</c:v>
                </c:pt>
                <c:pt idx="24">
                  <c:v>9.8318328919976841E-2</c:v>
                </c:pt>
                <c:pt idx="25">
                  <c:v>9.6505476282152017E-2</c:v>
                </c:pt>
                <c:pt idx="26">
                  <c:v>9.5331380516865835E-2</c:v>
                </c:pt>
                <c:pt idx="27">
                  <c:v>9.5650485958885312E-2</c:v>
                </c:pt>
                <c:pt idx="28">
                  <c:v>9.9033851778185591E-2</c:v>
                </c:pt>
                <c:pt idx="29">
                  <c:v>9.60868198313896E-2</c:v>
                </c:pt>
                <c:pt idx="30">
                  <c:v>9.6806445971149957E-2</c:v>
                </c:pt>
                <c:pt idx="31">
                  <c:v>9.564550756977222E-2</c:v>
                </c:pt>
                <c:pt idx="32">
                  <c:v>9.4746590512660336E-2</c:v>
                </c:pt>
                <c:pt idx="33">
                  <c:v>9.6123051137454826E-2</c:v>
                </c:pt>
                <c:pt idx="34">
                  <c:v>9.6705815495358949E-2</c:v>
                </c:pt>
                <c:pt idx="35">
                  <c:v>9.9107688131912869E-2</c:v>
                </c:pt>
                <c:pt idx="36">
                  <c:v>0.10168532289628179</c:v>
                </c:pt>
                <c:pt idx="37">
                  <c:v>0.10111619443867428</c:v>
                </c:pt>
                <c:pt idx="38">
                  <c:v>9.8061996523302969E-2</c:v>
                </c:pt>
                <c:pt idx="39">
                  <c:v>9.7764109903464194E-2</c:v>
                </c:pt>
                <c:pt idx="40">
                  <c:v>0.10049066758306544</c:v>
                </c:pt>
                <c:pt idx="41">
                  <c:v>9.8300344051168317E-2</c:v>
                </c:pt>
                <c:pt idx="42">
                  <c:v>9.6001113474372721E-2</c:v>
                </c:pt>
                <c:pt idx="43">
                  <c:v>9.4766017272544703E-2</c:v>
                </c:pt>
                <c:pt idx="44">
                  <c:v>9.5787368745042803E-2</c:v>
                </c:pt>
                <c:pt idx="45">
                  <c:v>9.7563010161098584E-2</c:v>
                </c:pt>
                <c:pt idx="46">
                  <c:v>9.7309791766543099E-2</c:v>
                </c:pt>
                <c:pt idx="47">
                  <c:v>0.1019471602453665</c:v>
                </c:pt>
                <c:pt idx="48">
                  <c:v>0.10161746860733799</c:v>
                </c:pt>
                <c:pt idx="49">
                  <c:v>9.8232242537492881E-2</c:v>
                </c:pt>
                <c:pt idx="50">
                  <c:v>9.584456524786443E-2</c:v>
                </c:pt>
                <c:pt idx="51">
                  <c:v>9.2981146535962095E-2</c:v>
                </c:pt>
                <c:pt idx="52">
                  <c:v>9.6438490100509991E-2</c:v>
                </c:pt>
                <c:pt idx="53">
                  <c:v>9.4862996842002167E-2</c:v>
                </c:pt>
                <c:pt idx="54">
                  <c:v>9.2689284678951336E-2</c:v>
                </c:pt>
                <c:pt idx="55">
                  <c:v>9.3212392742368755E-2</c:v>
                </c:pt>
                <c:pt idx="56">
                  <c:v>9.0240830654649121E-2</c:v>
                </c:pt>
                <c:pt idx="57">
                  <c:v>9.112592198212778E-2</c:v>
                </c:pt>
                <c:pt idx="58">
                  <c:v>9.4001957503845088E-2</c:v>
                </c:pt>
                <c:pt idx="59">
                  <c:v>0.10000086186144176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4D-4D37-99BC-081A06034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9530416"/>
        <c:axId val="1429549552"/>
      </c:lineChart>
      <c:dateAx>
        <c:axId val="142953041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549552"/>
        <c:crosses val="autoZero"/>
        <c:auto val="0"/>
        <c:lblOffset val="100"/>
        <c:baseTimeUnit val="months"/>
        <c:majorUnit val="4"/>
        <c:majorTimeUnit val="months"/>
      </c:dateAx>
      <c:valAx>
        <c:axId val="142954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53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Mower Market Share by Region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'Mower Unit Sales'!$B$1</c:f>
              <c:strCache>
                <c:ptCount val="1"/>
                <c:pt idx="0">
                  <c:v>NA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'Mower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'Mower Unit Sales'!$H$2:$H$61</c:f>
              <c:numCache>
                <c:formatCode>0.00%</c:formatCode>
                <c:ptCount val="60"/>
                <c:pt idx="0">
                  <c:v>0.1</c:v>
                </c:pt>
                <c:pt idx="1">
                  <c:v>0.10299999999999999</c:v>
                </c:pt>
                <c:pt idx="2">
                  <c:v>0.104</c:v>
                </c:pt>
                <c:pt idx="3">
                  <c:v>0.105</c:v>
                </c:pt>
                <c:pt idx="4">
                  <c:v>0.10299999999999999</c:v>
                </c:pt>
                <c:pt idx="5">
                  <c:v>0.105</c:v>
                </c:pt>
                <c:pt idx="6">
                  <c:v>0.10299999999999999</c:v>
                </c:pt>
                <c:pt idx="7">
                  <c:v>0.10199999999999999</c:v>
                </c:pt>
                <c:pt idx="8">
                  <c:v>0.1</c:v>
                </c:pt>
                <c:pt idx="9">
                  <c:v>0.10100000000000001</c:v>
                </c:pt>
                <c:pt idx="10">
                  <c:v>0.10199999999999999</c:v>
                </c:pt>
                <c:pt idx="11">
                  <c:v>0.10300000000000001</c:v>
                </c:pt>
                <c:pt idx="12">
                  <c:v>0.10199999999999999</c:v>
                </c:pt>
                <c:pt idx="13">
                  <c:v>0.1</c:v>
                </c:pt>
                <c:pt idx="14">
                  <c:v>0.10100000000000001</c:v>
                </c:pt>
                <c:pt idx="15">
                  <c:v>0.104</c:v>
                </c:pt>
                <c:pt idx="16">
                  <c:v>0.1</c:v>
                </c:pt>
                <c:pt idx="17">
                  <c:v>0.11</c:v>
                </c:pt>
                <c:pt idx="18">
                  <c:v>0.105</c:v>
                </c:pt>
                <c:pt idx="19">
                  <c:v>0.10299999999999999</c:v>
                </c:pt>
                <c:pt idx="20">
                  <c:v>0.104</c:v>
                </c:pt>
                <c:pt idx="21">
                  <c:v>0.105</c:v>
                </c:pt>
                <c:pt idx="22">
                  <c:v>0.10299999999999999</c:v>
                </c:pt>
                <c:pt idx="23">
                  <c:v>0.10199999999999999</c:v>
                </c:pt>
                <c:pt idx="24">
                  <c:v>0.104</c:v>
                </c:pt>
                <c:pt idx="25">
                  <c:v>0.10199999999999999</c:v>
                </c:pt>
                <c:pt idx="26">
                  <c:v>0.10299999999999999</c:v>
                </c:pt>
                <c:pt idx="27">
                  <c:v>0.10500000000000001</c:v>
                </c:pt>
                <c:pt idx="28">
                  <c:v>0.107</c:v>
                </c:pt>
                <c:pt idx="29">
                  <c:v>0.10299999999999999</c:v>
                </c:pt>
                <c:pt idx="30">
                  <c:v>0.105</c:v>
                </c:pt>
                <c:pt idx="31">
                  <c:v>0.10599999999999998</c:v>
                </c:pt>
                <c:pt idx="32">
                  <c:v>0.107</c:v>
                </c:pt>
                <c:pt idx="33">
                  <c:v>0.106</c:v>
                </c:pt>
                <c:pt idx="34">
                  <c:v>0.105</c:v>
                </c:pt>
                <c:pt idx="35">
                  <c:v>0.10399999999999998</c:v>
                </c:pt>
                <c:pt idx="36">
                  <c:v>0.105</c:v>
                </c:pt>
                <c:pt idx="37">
                  <c:v>0.10599999999999998</c:v>
                </c:pt>
                <c:pt idx="38">
                  <c:v>0.105</c:v>
                </c:pt>
                <c:pt idx="39">
                  <c:v>0.107</c:v>
                </c:pt>
                <c:pt idx="40">
                  <c:v>0.108</c:v>
                </c:pt>
                <c:pt idx="41">
                  <c:v>0.106</c:v>
                </c:pt>
                <c:pt idx="42">
                  <c:v>0.104</c:v>
                </c:pt>
                <c:pt idx="43">
                  <c:v>0.10500000000000001</c:v>
                </c:pt>
                <c:pt idx="44">
                  <c:v>0.106</c:v>
                </c:pt>
                <c:pt idx="45">
                  <c:v>0.105</c:v>
                </c:pt>
                <c:pt idx="46">
                  <c:v>0.10400000000000001</c:v>
                </c:pt>
                <c:pt idx="47">
                  <c:v>0.105</c:v>
                </c:pt>
                <c:pt idx="48">
                  <c:v>0.104</c:v>
                </c:pt>
                <c:pt idx="49">
                  <c:v>0.10299999999999999</c:v>
                </c:pt>
                <c:pt idx="50">
                  <c:v>0.10199999999999999</c:v>
                </c:pt>
                <c:pt idx="51">
                  <c:v>0.10100000000000001</c:v>
                </c:pt>
                <c:pt idx="52">
                  <c:v>0.105</c:v>
                </c:pt>
                <c:pt idx="53">
                  <c:v>0.10299999999999999</c:v>
                </c:pt>
                <c:pt idx="54">
                  <c:v>0.10199999999999998</c:v>
                </c:pt>
                <c:pt idx="55">
                  <c:v>0.105</c:v>
                </c:pt>
                <c:pt idx="56">
                  <c:v>0.10299999999999998</c:v>
                </c:pt>
                <c:pt idx="57">
                  <c:v>0.105</c:v>
                </c:pt>
                <c:pt idx="58">
                  <c:v>0.10299999999999999</c:v>
                </c:pt>
                <c:pt idx="59">
                  <c:v>0.10299999999999999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B2-4BCF-A7E3-812A875B55B5}"/>
            </c:ext>
          </c:extLst>
        </c:ser>
        <c:ser>
          <c:idx val="1"/>
          <c:order val="1"/>
          <c:tx>
            <c:strRef>
              <c:f>'Mower Unit Sales'!$C$1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'Mower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'Mower Unit Sales'!$I$2:$I$61</c:f>
              <c:numCache>
                <c:formatCode>0.00%</c:formatCode>
                <c:ptCount val="60"/>
                <c:pt idx="0">
                  <c:v>0.35</c:v>
                </c:pt>
                <c:pt idx="1">
                  <c:v>0.36000000000000004</c:v>
                </c:pt>
                <c:pt idx="2">
                  <c:v>0.38000000000000006</c:v>
                </c:pt>
                <c:pt idx="3">
                  <c:v>0.36</c:v>
                </c:pt>
                <c:pt idx="4">
                  <c:v>0.35</c:v>
                </c:pt>
                <c:pt idx="5">
                  <c:v>0.34</c:v>
                </c:pt>
                <c:pt idx="6">
                  <c:v>0.33</c:v>
                </c:pt>
                <c:pt idx="7">
                  <c:v>0.34</c:v>
                </c:pt>
                <c:pt idx="8">
                  <c:v>0.35</c:v>
                </c:pt>
                <c:pt idx="9">
                  <c:v>0.37</c:v>
                </c:pt>
                <c:pt idx="10">
                  <c:v>0.38</c:v>
                </c:pt>
                <c:pt idx="11">
                  <c:v>0.39</c:v>
                </c:pt>
                <c:pt idx="12">
                  <c:v>0.38</c:v>
                </c:pt>
                <c:pt idx="13">
                  <c:v>0.39</c:v>
                </c:pt>
                <c:pt idx="14">
                  <c:v>0.38000000000000006</c:v>
                </c:pt>
                <c:pt idx="15">
                  <c:v>0.37</c:v>
                </c:pt>
                <c:pt idx="16">
                  <c:v>0.39</c:v>
                </c:pt>
                <c:pt idx="17">
                  <c:v>0.37</c:v>
                </c:pt>
                <c:pt idx="18">
                  <c:v>0.38</c:v>
                </c:pt>
                <c:pt idx="19">
                  <c:v>0.38904899135446686</c:v>
                </c:pt>
                <c:pt idx="20">
                  <c:v>0.4</c:v>
                </c:pt>
                <c:pt idx="21">
                  <c:v>0.41000000000000003</c:v>
                </c:pt>
                <c:pt idx="22">
                  <c:v>0.42</c:v>
                </c:pt>
                <c:pt idx="23">
                  <c:v>0.41</c:v>
                </c:pt>
                <c:pt idx="24">
                  <c:v>0.41</c:v>
                </c:pt>
                <c:pt idx="25">
                  <c:v>0.42</c:v>
                </c:pt>
                <c:pt idx="26">
                  <c:v>0.41</c:v>
                </c:pt>
                <c:pt idx="27">
                  <c:v>0.41</c:v>
                </c:pt>
                <c:pt idx="28">
                  <c:v>0.41</c:v>
                </c:pt>
                <c:pt idx="29">
                  <c:v>0.4</c:v>
                </c:pt>
                <c:pt idx="30">
                  <c:v>0.41</c:v>
                </c:pt>
                <c:pt idx="31">
                  <c:v>0.42</c:v>
                </c:pt>
                <c:pt idx="32">
                  <c:v>0.43000000000000005</c:v>
                </c:pt>
                <c:pt idx="33">
                  <c:v>0.42</c:v>
                </c:pt>
                <c:pt idx="34">
                  <c:v>0.42</c:v>
                </c:pt>
                <c:pt idx="35">
                  <c:v>0.42000000000000004</c:v>
                </c:pt>
                <c:pt idx="36">
                  <c:v>0.43</c:v>
                </c:pt>
                <c:pt idx="37">
                  <c:v>0.44</c:v>
                </c:pt>
                <c:pt idx="38">
                  <c:v>0.45</c:v>
                </c:pt>
                <c:pt idx="39">
                  <c:v>0.44</c:v>
                </c:pt>
                <c:pt idx="40">
                  <c:v>0.46</c:v>
                </c:pt>
                <c:pt idx="41">
                  <c:v>0.46</c:v>
                </c:pt>
                <c:pt idx="42">
                  <c:v>0.47000000000000003</c:v>
                </c:pt>
                <c:pt idx="43">
                  <c:v>0.48</c:v>
                </c:pt>
                <c:pt idx="44">
                  <c:v>0.48</c:v>
                </c:pt>
                <c:pt idx="45">
                  <c:v>0.47000000000000003</c:v>
                </c:pt>
                <c:pt idx="46">
                  <c:v>0.46</c:v>
                </c:pt>
                <c:pt idx="47">
                  <c:v>0.44</c:v>
                </c:pt>
                <c:pt idx="48">
                  <c:v>0.48</c:v>
                </c:pt>
                <c:pt idx="49">
                  <c:v>0.49</c:v>
                </c:pt>
                <c:pt idx="50">
                  <c:v>0.48</c:v>
                </c:pt>
                <c:pt idx="51">
                  <c:v>0.47</c:v>
                </c:pt>
                <c:pt idx="52">
                  <c:v>0.46</c:v>
                </c:pt>
                <c:pt idx="53">
                  <c:v>0.47999999999999993</c:v>
                </c:pt>
                <c:pt idx="54">
                  <c:v>0.47000000000000003</c:v>
                </c:pt>
                <c:pt idx="55">
                  <c:v>0.46</c:v>
                </c:pt>
                <c:pt idx="56">
                  <c:v>0.47999999999999993</c:v>
                </c:pt>
                <c:pt idx="57">
                  <c:v>0.47</c:v>
                </c:pt>
                <c:pt idx="58">
                  <c:v>0.48</c:v>
                </c:pt>
                <c:pt idx="59">
                  <c:v>0.47697368421052633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B2-4BCF-A7E3-812A875B55B5}"/>
            </c:ext>
          </c:extLst>
        </c:ser>
        <c:ser>
          <c:idx val="2"/>
          <c:order val="2"/>
          <c:tx>
            <c:strRef>
              <c:f>'Mower Unit Sales'!$D$1</c:f>
              <c:strCache>
                <c:ptCount val="1"/>
                <c:pt idx="0">
                  <c:v>Europe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'Mower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'Mower Unit Sales'!$J$2:$J$61</c:f>
              <c:numCache>
                <c:formatCode>0.00%</c:formatCode>
                <c:ptCount val="60"/>
                <c:pt idx="0">
                  <c:v>5.5E-2</c:v>
                </c:pt>
                <c:pt idx="1">
                  <c:v>5.6000000000000001E-2</c:v>
                </c:pt>
                <c:pt idx="2">
                  <c:v>5.8000000000000003E-2</c:v>
                </c:pt>
                <c:pt idx="3">
                  <c:v>5.8999999999999997E-2</c:v>
                </c:pt>
                <c:pt idx="4">
                  <c:v>5.7000000000000002E-2</c:v>
                </c:pt>
                <c:pt idx="5">
                  <c:v>5.2999999999999999E-2</c:v>
                </c:pt>
                <c:pt idx="6">
                  <c:v>5.3999999999999999E-2</c:v>
                </c:pt>
                <c:pt idx="7">
                  <c:v>5.5E-2</c:v>
                </c:pt>
                <c:pt idx="8">
                  <c:v>5.6000000000000001E-2</c:v>
                </c:pt>
                <c:pt idx="9">
                  <c:v>5.3999999999999999E-2</c:v>
                </c:pt>
                <c:pt idx="10">
                  <c:v>5.5E-2</c:v>
                </c:pt>
                <c:pt idx="11">
                  <c:v>5.2999999999999999E-2</c:v>
                </c:pt>
                <c:pt idx="12">
                  <c:v>5.3999999999999999E-2</c:v>
                </c:pt>
                <c:pt idx="13">
                  <c:v>5.6000000000000001E-2</c:v>
                </c:pt>
                <c:pt idx="14">
                  <c:v>5.3999999999999999E-2</c:v>
                </c:pt>
                <c:pt idx="15">
                  <c:v>5.5E-2</c:v>
                </c:pt>
                <c:pt idx="16">
                  <c:v>5.6000000000000001E-2</c:v>
                </c:pt>
                <c:pt idx="17">
                  <c:v>5.8000000000000003E-2</c:v>
                </c:pt>
                <c:pt idx="18">
                  <c:v>5.7000000000000002E-2</c:v>
                </c:pt>
                <c:pt idx="19">
                  <c:v>5.6000000000000001E-2</c:v>
                </c:pt>
                <c:pt idx="20">
                  <c:v>5.3999999999999999E-2</c:v>
                </c:pt>
                <c:pt idx="21">
                  <c:v>5.2999999999999999E-2</c:v>
                </c:pt>
                <c:pt idx="22">
                  <c:v>5.1999999999999998E-2</c:v>
                </c:pt>
                <c:pt idx="23">
                  <c:v>5.0999999999999997E-2</c:v>
                </c:pt>
                <c:pt idx="24">
                  <c:v>5.1999999999999991E-2</c:v>
                </c:pt>
                <c:pt idx="25">
                  <c:v>5.5E-2</c:v>
                </c:pt>
                <c:pt idx="26">
                  <c:v>5.3999999999999999E-2</c:v>
                </c:pt>
                <c:pt idx="27">
                  <c:v>5.6000000000000001E-2</c:v>
                </c:pt>
                <c:pt idx="28">
                  <c:v>5.8000000000000003E-2</c:v>
                </c:pt>
                <c:pt idx="29">
                  <c:v>5.7000000000000002E-2</c:v>
                </c:pt>
                <c:pt idx="30">
                  <c:v>5.8000000000000003E-2</c:v>
                </c:pt>
                <c:pt idx="31">
                  <c:v>5.6000000000000001E-2</c:v>
                </c:pt>
                <c:pt idx="32">
                  <c:v>5.5E-2</c:v>
                </c:pt>
                <c:pt idx="33">
                  <c:v>5.6000000000000001E-2</c:v>
                </c:pt>
                <c:pt idx="34">
                  <c:v>5.5E-2</c:v>
                </c:pt>
                <c:pt idx="35">
                  <c:v>5.6000000000000001E-2</c:v>
                </c:pt>
                <c:pt idx="36">
                  <c:v>5.6000000000000008E-2</c:v>
                </c:pt>
                <c:pt idx="37">
                  <c:v>5.7000000000000002E-2</c:v>
                </c:pt>
                <c:pt idx="38">
                  <c:v>5.8000000000000003E-2</c:v>
                </c:pt>
                <c:pt idx="39">
                  <c:v>5.6000000000000001E-2</c:v>
                </c:pt>
                <c:pt idx="40">
                  <c:v>5.8000000000000003E-2</c:v>
                </c:pt>
                <c:pt idx="41">
                  <c:v>5.6000000000000001E-2</c:v>
                </c:pt>
                <c:pt idx="42">
                  <c:v>5.7000000000000002E-2</c:v>
                </c:pt>
                <c:pt idx="43">
                  <c:v>5.6000000000000001E-2</c:v>
                </c:pt>
                <c:pt idx="44">
                  <c:v>5.6999999999999995E-2</c:v>
                </c:pt>
                <c:pt idx="45">
                  <c:v>5.8000000000000003E-2</c:v>
                </c:pt>
                <c:pt idx="46">
                  <c:v>5.6000000000000001E-2</c:v>
                </c:pt>
                <c:pt idx="47">
                  <c:v>5.5E-2</c:v>
                </c:pt>
                <c:pt idx="48">
                  <c:v>5.2999999999999999E-2</c:v>
                </c:pt>
                <c:pt idx="49">
                  <c:v>5.3999999999999999E-2</c:v>
                </c:pt>
                <c:pt idx="50">
                  <c:v>5.2999999999999999E-2</c:v>
                </c:pt>
                <c:pt idx="51">
                  <c:v>5.1999999999999998E-2</c:v>
                </c:pt>
                <c:pt idx="52">
                  <c:v>5.0999999999999997E-2</c:v>
                </c:pt>
                <c:pt idx="53">
                  <c:v>4.9000000000000002E-2</c:v>
                </c:pt>
                <c:pt idx="54">
                  <c:v>4.8000000000000001E-2</c:v>
                </c:pt>
                <c:pt idx="55">
                  <c:v>4.8000000000000001E-2</c:v>
                </c:pt>
                <c:pt idx="56">
                  <c:v>4.5999999999999999E-2</c:v>
                </c:pt>
                <c:pt idx="57">
                  <c:v>4.2999999999999997E-2</c:v>
                </c:pt>
                <c:pt idx="58">
                  <c:v>4.3999999999999997E-2</c:v>
                </c:pt>
                <c:pt idx="59">
                  <c:v>4.2999999999999997E-2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B2-4BCF-A7E3-812A875B55B5}"/>
            </c:ext>
          </c:extLst>
        </c:ser>
        <c:ser>
          <c:idx val="3"/>
          <c:order val="3"/>
          <c:tx>
            <c:strRef>
              <c:f>'Mower Unit Sales'!$E$1</c:f>
              <c:strCache>
                <c:ptCount val="1"/>
                <c:pt idx="0">
                  <c:v>Pacific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'Mower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'Mower Unit Sales'!$K$2:$K$61</c:f>
              <c:numCache>
                <c:formatCode>0.00%</c:formatCode>
                <c:ptCount val="60"/>
                <c:pt idx="0">
                  <c:v>9.569377990430622E-2</c:v>
                </c:pt>
                <c:pt idx="1">
                  <c:v>0.108</c:v>
                </c:pt>
                <c:pt idx="2">
                  <c:v>0.10299999999999999</c:v>
                </c:pt>
                <c:pt idx="3">
                  <c:v>9.7000000000000003E-2</c:v>
                </c:pt>
                <c:pt idx="4">
                  <c:v>9.8999999999999991E-2</c:v>
                </c:pt>
                <c:pt idx="5">
                  <c:v>0.10199999999999999</c:v>
                </c:pt>
                <c:pt idx="6">
                  <c:v>0.10299999999999999</c:v>
                </c:pt>
                <c:pt idx="7">
                  <c:v>0.105</c:v>
                </c:pt>
                <c:pt idx="8">
                  <c:v>0.10700000000000001</c:v>
                </c:pt>
                <c:pt idx="9">
                  <c:v>0.10400000000000001</c:v>
                </c:pt>
                <c:pt idx="10">
                  <c:v>0.10299999999999999</c:v>
                </c:pt>
                <c:pt idx="11">
                  <c:v>0.10099999999999999</c:v>
                </c:pt>
                <c:pt idx="12">
                  <c:v>9.7000000000000003E-2</c:v>
                </c:pt>
                <c:pt idx="13">
                  <c:v>9.9000000000000005E-2</c:v>
                </c:pt>
                <c:pt idx="14">
                  <c:v>0.10199999999999998</c:v>
                </c:pt>
                <c:pt idx="15">
                  <c:v>0.104</c:v>
                </c:pt>
                <c:pt idx="16">
                  <c:v>0.10700000000000001</c:v>
                </c:pt>
                <c:pt idx="17">
                  <c:v>0.10499999999999998</c:v>
                </c:pt>
                <c:pt idx="18">
                  <c:v>0.10599999999999998</c:v>
                </c:pt>
                <c:pt idx="19">
                  <c:v>0.108</c:v>
                </c:pt>
                <c:pt idx="20">
                  <c:v>0.107</c:v>
                </c:pt>
                <c:pt idx="21">
                  <c:v>0.109</c:v>
                </c:pt>
                <c:pt idx="22">
                  <c:v>0.11100000000000002</c:v>
                </c:pt>
                <c:pt idx="23">
                  <c:v>0.108</c:v>
                </c:pt>
                <c:pt idx="24">
                  <c:v>0.106</c:v>
                </c:pt>
                <c:pt idx="25">
                  <c:v>0.107</c:v>
                </c:pt>
                <c:pt idx="26">
                  <c:v>0.105</c:v>
                </c:pt>
                <c:pt idx="27">
                  <c:v>0.108</c:v>
                </c:pt>
                <c:pt idx="28">
                  <c:v>0.109</c:v>
                </c:pt>
                <c:pt idx="29">
                  <c:v>0.10899999999999999</c:v>
                </c:pt>
                <c:pt idx="30">
                  <c:v>0.111</c:v>
                </c:pt>
                <c:pt idx="31">
                  <c:v>0.11</c:v>
                </c:pt>
                <c:pt idx="32">
                  <c:v>0.108</c:v>
                </c:pt>
                <c:pt idx="33">
                  <c:v>0.106</c:v>
                </c:pt>
                <c:pt idx="34">
                  <c:v>0.105</c:v>
                </c:pt>
                <c:pt idx="35">
                  <c:v>0.104</c:v>
                </c:pt>
                <c:pt idx="36">
                  <c:v>0.106</c:v>
                </c:pt>
                <c:pt idx="37">
                  <c:v>0.10299999999999999</c:v>
                </c:pt>
                <c:pt idx="38">
                  <c:v>0.104</c:v>
                </c:pt>
                <c:pt idx="39">
                  <c:v>0.106</c:v>
                </c:pt>
                <c:pt idx="40">
                  <c:v>0.105</c:v>
                </c:pt>
                <c:pt idx="41">
                  <c:v>0.10299999999999999</c:v>
                </c:pt>
                <c:pt idx="42">
                  <c:v>0.10199999999999999</c:v>
                </c:pt>
                <c:pt idx="43">
                  <c:v>0.105</c:v>
                </c:pt>
                <c:pt idx="44">
                  <c:v>0.10599999999999998</c:v>
                </c:pt>
                <c:pt idx="45">
                  <c:v>0.104</c:v>
                </c:pt>
                <c:pt idx="46">
                  <c:v>0.105</c:v>
                </c:pt>
                <c:pt idx="47">
                  <c:v>0.107</c:v>
                </c:pt>
                <c:pt idx="48">
                  <c:v>0.108</c:v>
                </c:pt>
                <c:pt idx="49">
                  <c:v>0.109</c:v>
                </c:pt>
                <c:pt idx="50">
                  <c:v>0.111</c:v>
                </c:pt>
                <c:pt idx="51">
                  <c:v>0.108</c:v>
                </c:pt>
                <c:pt idx="52">
                  <c:v>0.106</c:v>
                </c:pt>
                <c:pt idx="53">
                  <c:v>0.108</c:v>
                </c:pt>
                <c:pt idx="54">
                  <c:v>0.106</c:v>
                </c:pt>
                <c:pt idx="55">
                  <c:v>0.108</c:v>
                </c:pt>
                <c:pt idx="56">
                  <c:v>0.109</c:v>
                </c:pt>
                <c:pt idx="57">
                  <c:v>0.111</c:v>
                </c:pt>
                <c:pt idx="58">
                  <c:v>0.10999999999999999</c:v>
                </c:pt>
                <c:pt idx="59">
                  <c:v>0.113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B2-4BCF-A7E3-812A875B5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4663456"/>
        <c:axId val="1744673440"/>
      </c:lineChart>
      <c:dateAx>
        <c:axId val="17446634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673440"/>
        <c:crosses val="autoZero"/>
        <c:auto val="1"/>
        <c:lblOffset val="100"/>
        <c:baseTimeUnit val="months"/>
      </c:dateAx>
      <c:valAx>
        <c:axId val="174467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66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Mower Sales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3872922134733155E-2"/>
                  <c:y val="-0.232903543307086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'Mower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'Mower Unit Sales'!$G$2:$G$61</c:f>
              <c:numCache>
                <c:formatCode>General</c:formatCode>
                <c:ptCount val="60"/>
                <c:pt idx="0">
                  <c:v>7020</c:v>
                </c:pt>
                <c:pt idx="1">
                  <c:v>9280</c:v>
                </c:pt>
                <c:pt idx="2">
                  <c:v>9780</c:v>
                </c:pt>
                <c:pt idx="3">
                  <c:v>11100</c:v>
                </c:pt>
                <c:pt idx="4">
                  <c:v>11930</c:v>
                </c:pt>
                <c:pt idx="5">
                  <c:v>12240</c:v>
                </c:pt>
                <c:pt idx="6">
                  <c:v>10740</c:v>
                </c:pt>
                <c:pt idx="7">
                  <c:v>10080</c:v>
                </c:pt>
                <c:pt idx="8">
                  <c:v>8430</c:v>
                </c:pt>
                <c:pt idx="9">
                  <c:v>7650</c:v>
                </c:pt>
                <c:pt idx="10">
                  <c:v>6650</c:v>
                </c:pt>
                <c:pt idx="11">
                  <c:v>5620</c:v>
                </c:pt>
                <c:pt idx="12">
                  <c:v>7020</c:v>
                </c:pt>
                <c:pt idx="13">
                  <c:v>9030</c:v>
                </c:pt>
                <c:pt idx="14">
                  <c:v>10050</c:v>
                </c:pt>
                <c:pt idx="15">
                  <c:v>10890</c:v>
                </c:pt>
                <c:pt idx="16">
                  <c:v>11420</c:v>
                </c:pt>
                <c:pt idx="17">
                  <c:v>12270</c:v>
                </c:pt>
                <c:pt idx="18">
                  <c:v>10720</c:v>
                </c:pt>
                <c:pt idx="19">
                  <c:v>9650</c:v>
                </c:pt>
                <c:pt idx="20">
                  <c:v>8310</c:v>
                </c:pt>
                <c:pt idx="21">
                  <c:v>7510</c:v>
                </c:pt>
                <c:pt idx="22">
                  <c:v>6250</c:v>
                </c:pt>
                <c:pt idx="23">
                  <c:v>5370</c:v>
                </c:pt>
                <c:pt idx="24">
                  <c:v>6970</c:v>
                </c:pt>
                <c:pt idx="25">
                  <c:v>9160</c:v>
                </c:pt>
                <c:pt idx="26">
                  <c:v>9970</c:v>
                </c:pt>
                <c:pt idx="27">
                  <c:v>11020</c:v>
                </c:pt>
                <c:pt idx="28">
                  <c:v>11780</c:v>
                </c:pt>
                <c:pt idx="29">
                  <c:v>12280</c:v>
                </c:pt>
                <c:pt idx="30">
                  <c:v>10960</c:v>
                </c:pt>
                <c:pt idx="31">
                  <c:v>9500</c:v>
                </c:pt>
                <c:pt idx="32">
                  <c:v>8230</c:v>
                </c:pt>
                <c:pt idx="33">
                  <c:v>7420</c:v>
                </c:pt>
                <c:pt idx="34">
                  <c:v>6630</c:v>
                </c:pt>
                <c:pt idx="35">
                  <c:v>5350</c:v>
                </c:pt>
                <c:pt idx="36">
                  <c:v>7030</c:v>
                </c:pt>
                <c:pt idx="37">
                  <c:v>9220</c:v>
                </c:pt>
                <c:pt idx="38">
                  <c:v>10050</c:v>
                </c:pt>
                <c:pt idx="39">
                  <c:v>11050</c:v>
                </c:pt>
                <c:pt idx="40">
                  <c:v>11640</c:v>
                </c:pt>
                <c:pt idx="41">
                  <c:v>12040</c:v>
                </c:pt>
                <c:pt idx="42">
                  <c:v>11010</c:v>
                </c:pt>
                <c:pt idx="43">
                  <c:v>9830</c:v>
                </c:pt>
                <c:pt idx="44">
                  <c:v>8370</c:v>
                </c:pt>
                <c:pt idx="45">
                  <c:v>7490</c:v>
                </c:pt>
                <c:pt idx="46">
                  <c:v>6530</c:v>
                </c:pt>
                <c:pt idx="47">
                  <c:v>6300</c:v>
                </c:pt>
                <c:pt idx="48">
                  <c:v>7080</c:v>
                </c:pt>
                <c:pt idx="49">
                  <c:v>9250</c:v>
                </c:pt>
                <c:pt idx="50">
                  <c:v>10020</c:v>
                </c:pt>
                <c:pt idx="51">
                  <c:v>10995</c:v>
                </c:pt>
                <c:pt idx="52">
                  <c:v>11436</c:v>
                </c:pt>
                <c:pt idx="53">
                  <c:v>12082</c:v>
                </c:pt>
                <c:pt idx="54">
                  <c:v>11486</c:v>
                </c:pt>
                <c:pt idx="55">
                  <c:v>9504</c:v>
                </c:pt>
                <c:pt idx="56">
                  <c:v>8635</c:v>
                </c:pt>
                <c:pt idx="57">
                  <c:v>7451</c:v>
                </c:pt>
                <c:pt idx="58">
                  <c:v>6453</c:v>
                </c:pt>
                <c:pt idx="59">
                  <c:v>5651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8F-3F46-84F4-F5C2581EE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9812543"/>
        <c:axId val="1643317855"/>
      </c:lineChart>
      <c:dateAx>
        <c:axId val="1579812543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317855"/>
        <c:crosses val="autoZero"/>
        <c:auto val="1"/>
        <c:lblOffset val="100"/>
        <c:baseTimeUnit val="months"/>
        <c:majorUnit val="4"/>
        <c:majorTimeUnit val="months"/>
      </c:dateAx>
      <c:valAx>
        <c:axId val="164331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81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Mower Sales Ratio by Region per</a:t>
            </a:r>
            <a:r>
              <a:rPr lang="en-US" baseline="0"/>
              <a:t>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'Mower Unit Sales'!$B$1</c:f>
              <c:strCache>
                <c:ptCount val="1"/>
                <c:pt idx="0">
                  <c:v>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'Mower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'Mower Unit Sales'!$B$2:$B$61</c:f>
              <c:numCache>
                <c:formatCode>General</c:formatCode>
                <c:ptCount val="60"/>
                <c:pt idx="0">
                  <c:v>6000</c:v>
                </c:pt>
                <c:pt idx="1">
                  <c:v>7950</c:v>
                </c:pt>
                <c:pt idx="2">
                  <c:v>8100</c:v>
                </c:pt>
                <c:pt idx="3">
                  <c:v>9050</c:v>
                </c:pt>
                <c:pt idx="4">
                  <c:v>9900</c:v>
                </c:pt>
                <c:pt idx="5">
                  <c:v>10200</c:v>
                </c:pt>
                <c:pt idx="6">
                  <c:v>8730</c:v>
                </c:pt>
                <c:pt idx="7">
                  <c:v>8140</c:v>
                </c:pt>
                <c:pt idx="8">
                  <c:v>6480</c:v>
                </c:pt>
                <c:pt idx="9">
                  <c:v>5990</c:v>
                </c:pt>
                <c:pt idx="10">
                  <c:v>5320</c:v>
                </c:pt>
                <c:pt idx="11">
                  <c:v>4640</c:v>
                </c:pt>
                <c:pt idx="12">
                  <c:v>5980</c:v>
                </c:pt>
                <c:pt idx="13">
                  <c:v>7620</c:v>
                </c:pt>
                <c:pt idx="14">
                  <c:v>8370</c:v>
                </c:pt>
                <c:pt idx="15">
                  <c:v>8830</c:v>
                </c:pt>
                <c:pt idx="16">
                  <c:v>9310</c:v>
                </c:pt>
                <c:pt idx="17">
                  <c:v>10230</c:v>
                </c:pt>
                <c:pt idx="18">
                  <c:v>8720</c:v>
                </c:pt>
                <c:pt idx="19">
                  <c:v>7710</c:v>
                </c:pt>
                <c:pt idx="20">
                  <c:v>6320</c:v>
                </c:pt>
                <c:pt idx="21">
                  <c:v>5840</c:v>
                </c:pt>
                <c:pt idx="22">
                  <c:v>4960</c:v>
                </c:pt>
                <c:pt idx="23">
                  <c:v>4350</c:v>
                </c:pt>
                <c:pt idx="24">
                  <c:v>6020</c:v>
                </c:pt>
                <c:pt idx="25">
                  <c:v>7920</c:v>
                </c:pt>
                <c:pt idx="26">
                  <c:v>8430</c:v>
                </c:pt>
                <c:pt idx="27">
                  <c:v>9040</c:v>
                </c:pt>
                <c:pt idx="28">
                  <c:v>9820</c:v>
                </c:pt>
                <c:pt idx="29">
                  <c:v>10370</c:v>
                </c:pt>
                <c:pt idx="30">
                  <c:v>9050</c:v>
                </c:pt>
                <c:pt idx="31">
                  <c:v>7620</c:v>
                </c:pt>
                <c:pt idx="32">
                  <c:v>6420</c:v>
                </c:pt>
                <c:pt idx="33">
                  <c:v>5890</c:v>
                </c:pt>
                <c:pt idx="34">
                  <c:v>5340</c:v>
                </c:pt>
                <c:pt idx="35">
                  <c:v>4430</c:v>
                </c:pt>
                <c:pt idx="36">
                  <c:v>6100</c:v>
                </c:pt>
                <c:pt idx="37">
                  <c:v>8010</c:v>
                </c:pt>
                <c:pt idx="38">
                  <c:v>8430</c:v>
                </c:pt>
                <c:pt idx="39">
                  <c:v>9110</c:v>
                </c:pt>
                <c:pt idx="40">
                  <c:v>9730</c:v>
                </c:pt>
                <c:pt idx="41">
                  <c:v>10120</c:v>
                </c:pt>
                <c:pt idx="42">
                  <c:v>9080</c:v>
                </c:pt>
                <c:pt idx="43">
                  <c:v>7820</c:v>
                </c:pt>
                <c:pt idx="44">
                  <c:v>6540</c:v>
                </c:pt>
                <c:pt idx="45">
                  <c:v>6010</c:v>
                </c:pt>
                <c:pt idx="46">
                  <c:v>5270</c:v>
                </c:pt>
                <c:pt idx="47">
                  <c:v>5380</c:v>
                </c:pt>
                <c:pt idx="48">
                  <c:v>6210</c:v>
                </c:pt>
                <c:pt idx="49">
                  <c:v>8030</c:v>
                </c:pt>
                <c:pt idx="50">
                  <c:v>8540</c:v>
                </c:pt>
                <c:pt idx="51">
                  <c:v>9120</c:v>
                </c:pt>
                <c:pt idx="52">
                  <c:v>9570</c:v>
                </c:pt>
                <c:pt idx="53">
                  <c:v>10230</c:v>
                </c:pt>
                <c:pt idx="54">
                  <c:v>9580</c:v>
                </c:pt>
                <c:pt idx="55">
                  <c:v>7680</c:v>
                </c:pt>
                <c:pt idx="56">
                  <c:v>6870</c:v>
                </c:pt>
                <c:pt idx="57">
                  <c:v>5930</c:v>
                </c:pt>
                <c:pt idx="58">
                  <c:v>5260</c:v>
                </c:pt>
                <c:pt idx="59">
                  <c:v>4830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5-40A9-89C5-4EA2DD6E9CF6}"/>
            </c:ext>
          </c:extLst>
        </c:ser>
        <c:ser>
          <c:idx val="1"/>
          <c:order val="1"/>
          <c:tx>
            <c:strRef>
              <c:f>'Mower Unit Sales'!$C$1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'Mower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'Mower Unit Sales'!$C$2:$C$61</c:f>
              <c:numCache>
                <c:formatCode>General</c:formatCode>
                <c:ptCount val="60"/>
                <c:pt idx="0">
                  <c:v>200</c:v>
                </c:pt>
                <c:pt idx="1">
                  <c:v>220</c:v>
                </c:pt>
                <c:pt idx="2">
                  <c:v>250</c:v>
                </c:pt>
                <c:pt idx="3">
                  <c:v>280</c:v>
                </c:pt>
                <c:pt idx="4">
                  <c:v>310</c:v>
                </c:pt>
                <c:pt idx="5">
                  <c:v>300</c:v>
                </c:pt>
                <c:pt idx="6">
                  <c:v>280</c:v>
                </c:pt>
                <c:pt idx="7">
                  <c:v>250</c:v>
                </c:pt>
                <c:pt idx="8">
                  <c:v>230</c:v>
                </c:pt>
                <c:pt idx="9">
                  <c:v>220</c:v>
                </c:pt>
                <c:pt idx="10">
                  <c:v>210</c:v>
                </c:pt>
                <c:pt idx="11">
                  <c:v>180</c:v>
                </c:pt>
                <c:pt idx="12">
                  <c:v>210</c:v>
                </c:pt>
                <c:pt idx="13">
                  <c:v>240</c:v>
                </c:pt>
                <c:pt idx="14">
                  <c:v>250</c:v>
                </c:pt>
                <c:pt idx="15">
                  <c:v>290</c:v>
                </c:pt>
                <c:pt idx="16">
                  <c:v>330</c:v>
                </c:pt>
                <c:pt idx="17">
                  <c:v>310</c:v>
                </c:pt>
                <c:pt idx="18">
                  <c:v>290</c:v>
                </c:pt>
                <c:pt idx="19">
                  <c:v>270</c:v>
                </c:pt>
                <c:pt idx="20">
                  <c:v>250</c:v>
                </c:pt>
                <c:pt idx="21">
                  <c:v>250</c:v>
                </c:pt>
                <c:pt idx="22">
                  <c:v>240</c:v>
                </c:pt>
                <c:pt idx="23">
                  <c:v>210</c:v>
                </c:pt>
                <c:pt idx="24">
                  <c:v>220</c:v>
                </c:pt>
                <c:pt idx="25">
                  <c:v>250</c:v>
                </c:pt>
                <c:pt idx="26">
                  <c:v>270</c:v>
                </c:pt>
                <c:pt idx="27">
                  <c:v>310</c:v>
                </c:pt>
                <c:pt idx="28">
                  <c:v>360</c:v>
                </c:pt>
                <c:pt idx="29">
                  <c:v>330</c:v>
                </c:pt>
                <c:pt idx="30">
                  <c:v>310</c:v>
                </c:pt>
                <c:pt idx="31">
                  <c:v>300</c:v>
                </c:pt>
                <c:pt idx="32">
                  <c:v>280</c:v>
                </c:pt>
                <c:pt idx="33">
                  <c:v>270</c:v>
                </c:pt>
                <c:pt idx="34">
                  <c:v>260</c:v>
                </c:pt>
                <c:pt idx="35">
                  <c:v>230</c:v>
                </c:pt>
                <c:pt idx="36">
                  <c:v>250</c:v>
                </c:pt>
                <c:pt idx="37">
                  <c:v>270</c:v>
                </c:pt>
                <c:pt idx="38">
                  <c:v>280</c:v>
                </c:pt>
                <c:pt idx="39">
                  <c:v>320</c:v>
                </c:pt>
                <c:pt idx="40">
                  <c:v>380</c:v>
                </c:pt>
                <c:pt idx="41">
                  <c:v>360</c:v>
                </c:pt>
                <c:pt idx="42">
                  <c:v>320</c:v>
                </c:pt>
                <c:pt idx="43">
                  <c:v>310</c:v>
                </c:pt>
                <c:pt idx="44">
                  <c:v>300</c:v>
                </c:pt>
                <c:pt idx="45">
                  <c:v>290</c:v>
                </c:pt>
                <c:pt idx="46">
                  <c:v>270</c:v>
                </c:pt>
                <c:pt idx="47">
                  <c:v>260</c:v>
                </c:pt>
                <c:pt idx="48">
                  <c:v>270</c:v>
                </c:pt>
                <c:pt idx="49">
                  <c:v>280</c:v>
                </c:pt>
                <c:pt idx="50">
                  <c:v>300</c:v>
                </c:pt>
                <c:pt idx="51">
                  <c:v>340</c:v>
                </c:pt>
                <c:pt idx="52">
                  <c:v>390</c:v>
                </c:pt>
                <c:pt idx="53">
                  <c:v>380</c:v>
                </c:pt>
                <c:pt idx="54">
                  <c:v>350</c:v>
                </c:pt>
                <c:pt idx="55">
                  <c:v>340</c:v>
                </c:pt>
                <c:pt idx="56">
                  <c:v>320</c:v>
                </c:pt>
                <c:pt idx="57">
                  <c:v>310</c:v>
                </c:pt>
                <c:pt idx="58">
                  <c:v>300</c:v>
                </c:pt>
                <c:pt idx="59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05-40A9-89C5-4EA2DD6E9CF6}"/>
            </c:ext>
          </c:extLst>
        </c:ser>
        <c:ser>
          <c:idx val="2"/>
          <c:order val="2"/>
          <c:tx>
            <c:strRef>
              <c:f>'Mower Unit Sales'!$D$1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'Mower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'Mower Unit Sales'!$D$2:$D$61</c:f>
              <c:numCache>
                <c:formatCode>General</c:formatCode>
                <c:ptCount val="60"/>
                <c:pt idx="0">
                  <c:v>720</c:v>
                </c:pt>
                <c:pt idx="1">
                  <c:v>990</c:v>
                </c:pt>
                <c:pt idx="2">
                  <c:v>1320</c:v>
                </c:pt>
                <c:pt idx="3">
                  <c:v>1650</c:v>
                </c:pt>
                <c:pt idx="4">
                  <c:v>1590</c:v>
                </c:pt>
                <c:pt idx="5">
                  <c:v>1620</c:v>
                </c:pt>
                <c:pt idx="6">
                  <c:v>1590</c:v>
                </c:pt>
                <c:pt idx="7">
                  <c:v>1560</c:v>
                </c:pt>
                <c:pt idx="8">
                  <c:v>1590</c:v>
                </c:pt>
                <c:pt idx="9">
                  <c:v>1320</c:v>
                </c:pt>
                <c:pt idx="10">
                  <c:v>990</c:v>
                </c:pt>
                <c:pt idx="11">
                  <c:v>660</c:v>
                </c:pt>
                <c:pt idx="12">
                  <c:v>690</c:v>
                </c:pt>
                <c:pt idx="13">
                  <c:v>1020</c:v>
                </c:pt>
                <c:pt idx="14">
                  <c:v>1290</c:v>
                </c:pt>
                <c:pt idx="15">
                  <c:v>1620</c:v>
                </c:pt>
                <c:pt idx="16">
                  <c:v>1650</c:v>
                </c:pt>
                <c:pt idx="17">
                  <c:v>1590</c:v>
                </c:pt>
                <c:pt idx="18">
                  <c:v>1560</c:v>
                </c:pt>
                <c:pt idx="19">
                  <c:v>1530</c:v>
                </c:pt>
                <c:pt idx="20">
                  <c:v>1590</c:v>
                </c:pt>
                <c:pt idx="21">
                  <c:v>1260</c:v>
                </c:pt>
                <c:pt idx="22">
                  <c:v>900</c:v>
                </c:pt>
                <c:pt idx="23">
                  <c:v>660</c:v>
                </c:pt>
                <c:pt idx="24">
                  <c:v>570</c:v>
                </c:pt>
                <c:pt idx="25">
                  <c:v>840</c:v>
                </c:pt>
                <c:pt idx="26">
                  <c:v>1110</c:v>
                </c:pt>
                <c:pt idx="27">
                  <c:v>1500</c:v>
                </c:pt>
                <c:pt idx="28">
                  <c:v>1440</c:v>
                </c:pt>
                <c:pt idx="29">
                  <c:v>1410</c:v>
                </c:pt>
                <c:pt idx="30">
                  <c:v>1440</c:v>
                </c:pt>
                <c:pt idx="31">
                  <c:v>1410</c:v>
                </c:pt>
                <c:pt idx="32">
                  <c:v>1350</c:v>
                </c:pt>
                <c:pt idx="33">
                  <c:v>1080</c:v>
                </c:pt>
                <c:pt idx="34">
                  <c:v>840</c:v>
                </c:pt>
                <c:pt idx="35">
                  <c:v>510</c:v>
                </c:pt>
                <c:pt idx="36">
                  <c:v>480</c:v>
                </c:pt>
                <c:pt idx="37">
                  <c:v>750</c:v>
                </c:pt>
                <c:pt idx="38">
                  <c:v>1140</c:v>
                </c:pt>
                <c:pt idx="39">
                  <c:v>1410</c:v>
                </c:pt>
                <c:pt idx="40">
                  <c:v>1340</c:v>
                </c:pt>
                <c:pt idx="41">
                  <c:v>1360</c:v>
                </c:pt>
                <c:pt idx="42">
                  <c:v>1410</c:v>
                </c:pt>
                <c:pt idx="43">
                  <c:v>1490</c:v>
                </c:pt>
                <c:pt idx="44">
                  <c:v>1310</c:v>
                </c:pt>
                <c:pt idx="45">
                  <c:v>980</c:v>
                </c:pt>
                <c:pt idx="46">
                  <c:v>770</c:v>
                </c:pt>
                <c:pt idx="47">
                  <c:v>430</c:v>
                </c:pt>
                <c:pt idx="48">
                  <c:v>400</c:v>
                </c:pt>
                <c:pt idx="49">
                  <c:v>750</c:v>
                </c:pt>
                <c:pt idx="50">
                  <c:v>970</c:v>
                </c:pt>
                <c:pt idx="51">
                  <c:v>1310</c:v>
                </c:pt>
                <c:pt idx="52">
                  <c:v>1260</c:v>
                </c:pt>
                <c:pt idx="53">
                  <c:v>1240</c:v>
                </c:pt>
                <c:pt idx="54">
                  <c:v>1300</c:v>
                </c:pt>
                <c:pt idx="55">
                  <c:v>1250</c:v>
                </c:pt>
                <c:pt idx="56">
                  <c:v>1210</c:v>
                </c:pt>
                <c:pt idx="57">
                  <c:v>970</c:v>
                </c:pt>
                <c:pt idx="58">
                  <c:v>650</c:v>
                </c:pt>
                <c:pt idx="59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05-40A9-89C5-4EA2DD6E9CF6}"/>
            </c:ext>
          </c:extLst>
        </c:ser>
        <c:ser>
          <c:idx val="3"/>
          <c:order val="3"/>
          <c:tx>
            <c:strRef>
              <c:f>'Mower Unit Sales'!$E$1</c:f>
              <c:strCache>
                <c:ptCount val="1"/>
                <c:pt idx="0">
                  <c:v>Pacific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'Mower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'Mower Unit Sales'!$E$2:$E$61</c:f>
              <c:numCache>
                <c:formatCode>General</c:formatCode>
                <c:ptCount val="60"/>
                <c:pt idx="0">
                  <c:v>100</c:v>
                </c:pt>
                <c:pt idx="1">
                  <c:v>120</c:v>
                </c:pt>
                <c:pt idx="2">
                  <c:v>110</c:v>
                </c:pt>
                <c:pt idx="3">
                  <c:v>120</c:v>
                </c:pt>
                <c:pt idx="4">
                  <c:v>130</c:v>
                </c:pt>
                <c:pt idx="5">
                  <c:v>120</c:v>
                </c:pt>
                <c:pt idx="6">
                  <c:v>140</c:v>
                </c:pt>
                <c:pt idx="7">
                  <c:v>130</c:v>
                </c:pt>
                <c:pt idx="8">
                  <c:v>130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140</c:v>
                </c:pt>
                <c:pt idx="13">
                  <c:v>150</c:v>
                </c:pt>
                <c:pt idx="14">
                  <c:v>140</c:v>
                </c:pt>
                <c:pt idx="15">
                  <c:v>150</c:v>
                </c:pt>
                <c:pt idx="16">
                  <c:v>130</c:v>
                </c:pt>
                <c:pt idx="17">
                  <c:v>140</c:v>
                </c:pt>
                <c:pt idx="18">
                  <c:v>150</c:v>
                </c:pt>
                <c:pt idx="19">
                  <c:v>140</c:v>
                </c:pt>
                <c:pt idx="20">
                  <c:v>150</c:v>
                </c:pt>
                <c:pt idx="21">
                  <c:v>160</c:v>
                </c:pt>
                <c:pt idx="22">
                  <c:v>150</c:v>
                </c:pt>
                <c:pt idx="23">
                  <c:v>150</c:v>
                </c:pt>
                <c:pt idx="24">
                  <c:v>160</c:v>
                </c:pt>
                <c:pt idx="25">
                  <c:v>150</c:v>
                </c:pt>
                <c:pt idx="26">
                  <c:v>160</c:v>
                </c:pt>
                <c:pt idx="27">
                  <c:v>170</c:v>
                </c:pt>
                <c:pt idx="28">
                  <c:v>160</c:v>
                </c:pt>
                <c:pt idx="29">
                  <c:v>170</c:v>
                </c:pt>
                <c:pt idx="30">
                  <c:v>160</c:v>
                </c:pt>
                <c:pt idx="31">
                  <c:v>170</c:v>
                </c:pt>
                <c:pt idx="32">
                  <c:v>180</c:v>
                </c:pt>
                <c:pt idx="33">
                  <c:v>180</c:v>
                </c:pt>
                <c:pt idx="34">
                  <c:v>190</c:v>
                </c:pt>
                <c:pt idx="35">
                  <c:v>180</c:v>
                </c:pt>
                <c:pt idx="36">
                  <c:v>200</c:v>
                </c:pt>
                <c:pt idx="37">
                  <c:v>190</c:v>
                </c:pt>
                <c:pt idx="38">
                  <c:v>200</c:v>
                </c:pt>
                <c:pt idx="39">
                  <c:v>210</c:v>
                </c:pt>
                <c:pt idx="40">
                  <c:v>190</c:v>
                </c:pt>
                <c:pt idx="41">
                  <c:v>200</c:v>
                </c:pt>
                <c:pt idx="42">
                  <c:v>200</c:v>
                </c:pt>
                <c:pt idx="43">
                  <c:v>210</c:v>
                </c:pt>
                <c:pt idx="44">
                  <c:v>220</c:v>
                </c:pt>
                <c:pt idx="45">
                  <c:v>210</c:v>
                </c:pt>
                <c:pt idx="46">
                  <c:v>220</c:v>
                </c:pt>
                <c:pt idx="47">
                  <c:v>230</c:v>
                </c:pt>
                <c:pt idx="48">
                  <c:v>200</c:v>
                </c:pt>
                <c:pt idx="49">
                  <c:v>190</c:v>
                </c:pt>
                <c:pt idx="50">
                  <c:v>210</c:v>
                </c:pt>
                <c:pt idx="51">
                  <c:v>220</c:v>
                </c:pt>
                <c:pt idx="52">
                  <c:v>200</c:v>
                </c:pt>
                <c:pt idx="53">
                  <c:v>210</c:v>
                </c:pt>
                <c:pt idx="54">
                  <c:v>230</c:v>
                </c:pt>
                <c:pt idx="55">
                  <c:v>220</c:v>
                </c:pt>
                <c:pt idx="56">
                  <c:v>220</c:v>
                </c:pt>
                <c:pt idx="57">
                  <c:v>230</c:v>
                </c:pt>
                <c:pt idx="58">
                  <c:v>240</c:v>
                </c:pt>
                <c:pt idx="59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05-40A9-89C5-4EA2DD6E9CF6}"/>
            </c:ext>
          </c:extLst>
        </c:ser>
        <c:ser>
          <c:idx val="4"/>
          <c:order val="4"/>
          <c:tx>
            <c:strRef>
              <c:f>'Mower Unit Sales'!$F$1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numRef>
              <c:f>'Mower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'Mower Unit Sales'!$F$2:$F$61</c:f>
              <c:numCache>
                <c:formatCode>General</c:formatCode>
                <c:ptCount val="60"/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5</c:v>
                </c:pt>
                <c:pt idx="52">
                  <c:v>16</c:v>
                </c:pt>
                <c:pt idx="53">
                  <c:v>22</c:v>
                </c:pt>
                <c:pt idx="54">
                  <c:v>26</c:v>
                </c:pt>
                <c:pt idx="55">
                  <c:v>14</c:v>
                </c:pt>
                <c:pt idx="56">
                  <c:v>15</c:v>
                </c:pt>
                <c:pt idx="57">
                  <c:v>11</c:v>
                </c:pt>
                <c:pt idx="58">
                  <c:v>3</c:v>
                </c:pt>
                <c:pt idx="5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05-40A9-89C5-4EA2DD6E9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216992"/>
        <c:axId val="1387220320"/>
      </c:areaChart>
      <c:dateAx>
        <c:axId val="13872169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220320"/>
        <c:crosses val="autoZero"/>
        <c:auto val="1"/>
        <c:lblOffset val="100"/>
        <c:baseTimeUnit val="months"/>
        <c:majorUnit val="4"/>
        <c:majorTimeUnit val="months"/>
      </c:dateAx>
      <c:valAx>
        <c:axId val="138722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216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Industry Mower Sales by Region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'Industry Mower Total Sales'!$B$1</c:f>
              <c:strCache>
                <c:ptCount val="1"/>
                <c:pt idx="0">
                  <c:v>NA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'Industry Mower Total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'Industry Mower Total Sales'!$B$1:$B$61</c:f>
              <c:numCache>
                <c:formatCode>0</c:formatCode>
                <c:ptCount val="61"/>
                <c:pt idx="0" formatCode="General">
                  <c:v>0</c:v>
                </c:pt>
                <c:pt idx="1">
                  <c:v>60000</c:v>
                </c:pt>
                <c:pt idx="2">
                  <c:v>77184.466019417479</c:v>
                </c:pt>
                <c:pt idx="3">
                  <c:v>77884.61538461539</c:v>
                </c:pt>
                <c:pt idx="4">
                  <c:v>86190.476190476198</c:v>
                </c:pt>
                <c:pt idx="5">
                  <c:v>96116.504854368934</c:v>
                </c:pt>
                <c:pt idx="6">
                  <c:v>97142.857142857145</c:v>
                </c:pt>
                <c:pt idx="7">
                  <c:v>84757.281553398061</c:v>
                </c:pt>
                <c:pt idx="8">
                  <c:v>79803.921568627455</c:v>
                </c:pt>
                <c:pt idx="9">
                  <c:v>64800</c:v>
                </c:pt>
                <c:pt idx="10">
                  <c:v>59306.930693069306</c:v>
                </c:pt>
                <c:pt idx="11">
                  <c:v>52156.862745098042</c:v>
                </c:pt>
                <c:pt idx="12">
                  <c:v>45048.543689320388</c:v>
                </c:pt>
                <c:pt idx="13">
                  <c:v>58627.450980392161</c:v>
                </c:pt>
                <c:pt idx="14">
                  <c:v>76200</c:v>
                </c:pt>
                <c:pt idx="15">
                  <c:v>82871.287128712866</c:v>
                </c:pt>
                <c:pt idx="16">
                  <c:v>84903.846153846156</c:v>
                </c:pt>
                <c:pt idx="17">
                  <c:v>93100</c:v>
                </c:pt>
                <c:pt idx="18">
                  <c:v>93000</c:v>
                </c:pt>
                <c:pt idx="19">
                  <c:v>83047.619047619053</c:v>
                </c:pt>
                <c:pt idx="20">
                  <c:v>74854.368932038837</c:v>
                </c:pt>
                <c:pt idx="21">
                  <c:v>60769.230769230773</c:v>
                </c:pt>
                <c:pt idx="22">
                  <c:v>55619.047619047618</c:v>
                </c:pt>
                <c:pt idx="23">
                  <c:v>48155.339805825242</c:v>
                </c:pt>
                <c:pt idx="24">
                  <c:v>42647.058823529413</c:v>
                </c:pt>
                <c:pt idx="25">
                  <c:v>57884.61538461539</c:v>
                </c:pt>
                <c:pt idx="26">
                  <c:v>77647.058823529413</c:v>
                </c:pt>
                <c:pt idx="27">
                  <c:v>81844.660194174765</c:v>
                </c:pt>
                <c:pt idx="28">
                  <c:v>86095.238095238092</c:v>
                </c:pt>
                <c:pt idx="29">
                  <c:v>91775.700934579436</c:v>
                </c:pt>
                <c:pt idx="30">
                  <c:v>100679.61165048544</c:v>
                </c:pt>
                <c:pt idx="31">
                  <c:v>86190.476190476198</c:v>
                </c:pt>
                <c:pt idx="32">
                  <c:v>71886.792452830196</c:v>
                </c:pt>
                <c:pt idx="33">
                  <c:v>60000</c:v>
                </c:pt>
                <c:pt idx="34">
                  <c:v>55566.037735849059</c:v>
                </c:pt>
                <c:pt idx="35">
                  <c:v>50857.142857142862</c:v>
                </c:pt>
                <c:pt idx="36">
                  <c:v>42596.153846153851</c:v>
                </c:pt>
                <c:pt idx="37">
                  <c:v>58095.238095238099</c:v>
                </c:pt>
                <c:pt idx="38">
                  <c:v>75566.037735849066</c:v>
                </c:pt>
                <c:pt idx="39">
                  <c:v>80285.71428571429</c:v>
                </c:pt>
                <c:pt idx="40">
                  <c:v>85140.186915887854</c:v>
                </c:pt>
                <c:pt idx="41">
                  <c:v>90092.592592592599</c:v>
                </c:pt>
                <c:pt idx="42">
                  <c:v>95471.698113207545</c:v>
                </c:pt>
                <c:pt idx="43">
                  <c:v>87307.692307692312</c:v>
                </c:pt>
                <c:pt idx="44">
                  <c:v>74476.190476190473</c:v>
                </c:pt>
                <c:pt idx="45">
                  <c:v>61698.113207547169</c:v>
                </c:pt>
                <c:pt idx="46">
                  <c:v>57238.095238095237</c:v>
                </c:pt>
                <c:pt idx="47">
                  <c:v>50673.076923076922</c:v>
                </c:pt>
                <c:pt idx="48">
                  <c:v>51238.095238095237</c:v>
                </c:pt>
                <c:pt idx="49">
                  <c:v>59711.538461538461</c:v>
                </c:pt>
                <c:pt idx="50">
                  <c:v>77961.165048543699</c:v>
                </c:pt>
                <c:pt idx="51">
                  <c:v>83725.490196078434</c:v>
                </c:pt>
                <c:pt idx="52">
                  <c:v>90297.029702970292</c:v>
                </c:pt>
                <c:pt idx="53">
                  <c:v>91142.857142857145</c:v>
                </c:pt>
                <c:pt idx="54">
                  <c:v>99320.388349514571</c:v>
                </c:pt>
                <c:pt idx="55">
                  <c:v>93921.568627450994</c:v>
                </c:pt>
                <c:pt idx="56">
                  <c:v>73142.857142857145</c:v>
                </c:pt>
                <c:pt idx="57">
                  <c:v>66699.029126213602</c:v>
                </c:pt>
                <c:pt idx="58">
                  <c:v>56476.190476190481</c:v>
                </c:pt>
                <c:pt idx="59">
                  <c:v>51067.961165048546</c:v>
                </c:pt>
                <c:pt idx="60">
                  <c:v>46893.203883495145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1-424F-AED1-44A3FC09FBF2}"/>
            </c:ext>
          </c:extLst>
        </c:ser>
        <c:ser>
          <c:idx val="1"/>
          <c:order val="1"/>
          <c:tx>
            <c:strRef>
              <c:f>'Industry Mower Total Sales'!$C$1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'Industry Mower Total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'Industry Mower Total Sales'!$C$1:$C$61</c:f>
              <c:numCache>
                <c:formatCode>0</c:formatCode>
                <c:ptCount val="61"/>
                <c:pt idx="0" formatCode="General">
                  <c:v>0</c:v>
                </c:pt>
                <c:pt idx="1">
                  <c:v>571.42857142857144</c:v>
                </c:pt>
                <c:pt idx="2">
                  <c:v>611.11111111111109</c:v>
                </c:pt>
                <c:pt idx="3">
                  <c:v>657.8947368421052</c:v>
                </c:pt>
                <c:pt idx="4">
                  <c:v>777.77777777777783</c:v>
                </c:pt>
                <c:pt idx="5">
                  <c:v>885.71428571428578</c:v>
                </c:pt>
                <c:pt idx="6">
                  <c:v>882.35294117647049</c:v>
                </c:pt>
                <c:pt idx="7">
                  <c:v>848.4848484848485</c:v>
                </c:pt>
                <c:pt idx="8">
                  <c:v>735.29411764705878</c:v>
                </c:pt>
                <c:pt idx="9">
                  <c:v>657.14285714285722</c:v>
                </c:pt>
                <c:pt idx="10">
                  <c:v>594.59459459459458</c:v>
                </c:pt>
                <c:pt idx="11">
                  <c:v>552.63157894736844</c:v>
                </c:pt>
                <c:pt idx="12">
                  <c:v>461.53846153846155</c:v>
                </c:pt>
                <c:pt idx="13">
                  <c:v>552.63157894736844</c:v>
                </c:pt>
                <c:pt idx="14">
                  <c:v>615.38461538461536</c:v>
                </c:pt>
                <c:pt idx="15">
                  <c:v>657.8947368421052</c:v>
                </c:pt>
                <c:pt idx="16">
                  <c:v>783.78378378378375</c:v>
                </c:pt>
                <c:pt idx="17">
                  <c:v>846.15384615384608</c:v>
                </c:pt>
                <c:pt idx="18">
                  <c:v>837.83783783783781</c:v>
                </c:pt>
                <c:pt idx="19">
                  <c:v>763.15789473684208</c:v>
                </c:pt>
                <c:pt idx="20">
                  <c:v>694</c:v>
                </c:pt>
                <c:pt idx="21">
                  <c:v>625</c:v>
                </c:pt>
                <c:pt idx="22">
                  <c:v>609.7560975609756</c:v>
                </c:pt>
                <c:pt idx="23">
                  <c:v>571.42857142857144</c:v>
                </c:pt>
                <c:pt idx="24">
                  <c:v>512.19512195121956</c:v>
                </c:pt>
                <c:pt idx="25">
                  <c:v>536.58536585365857</c:v>
                </c:pt>
                <c:pt idx="26">
                  <c:v>595.2380952380953</c:v>
                </c:pt>
                <c:pt idx="27">
                  <c:v>658.53658536585374</c:v>
                </c:pt>
                <c:pt idx="28">
                  <c:v>756.09756097560978</c:v>
                </c:pt>
                <c:pt idx="29">
                  <c:v>878.04878048780495</c:v>
                </c:pt>
                <c:pt idx="30">
                  <c:v>825</c:v>
                </c:pt>
                <c:pt idx="31">
                  <c:v>756.09756097560978</c:v>
                </c:pt>
                <c:pt idx="32">
                  <c:v>714.28571428571433</c:v>
                </c:pt>
                <c:pt idx="33">
                  <c:v>651.16279069767438</c:v>
                </c:pt>
                <c:pt idx="34">
                  <c:v>642.85714285714289</c:v>
                </c:pt>
                <c:pt idx="35">
                  <c:v>619.04761904761904</c:v>
                </c:pt>
                <c:pt idx="36">
                  <c:v>547.61904761904759</c:v>
                </c:pt>
                <c:pt idx="37">
                  <c:v>581.39534883720933</c:v>
                </c:pt>
                <c:pt idx="38">
                  <c:v>613.63636363636363</c:v>
                </c:pt>
                <c:pt idx="39">
                  <c:v>622.22222222222217</c:v>
                </c:pt>
                <c:pt idx="40">
                  <c:v>727.27272727272725</c:v>
                </c:pt>
                <c:pt idx="41">
                  <c:v>826.08695652173913</c:v>
                </c:pt>
                <c:pt idx="42">
                  <c:v>782.60869565217388</c:v>
                </c:pt>
                <c:pt idx="43">
                  <c:v>680.85106382978722</c:v>
                </c:pt>
                <c:pt idx="44">
                  <c:v>645.83333333333337</c:v>
                </c:pt>
                <c:pt idx="45">
                  <c:v>625</c:v>
                </c:pt>
                <c:pt idx="46">
                  <c:v>617.02127659574467</c:v>
                </c:pt>
                <c:pt idx="47">
                  <c:v>586.95652173913038</c:v>
                </c:pt>
                <c:pt idx="48">
                  <c:v>590.90909090909088</c:v>
                </c:pt>
                <c:pt idx="49">
                  <c:v>562.5</c:v>
                </c:pt>
                <c:pt idx="50">
                  <c:v>571.42857142857144</c:v>
                </c:pt>
                <c:pt idx="51">
                  <c:v>625</c:v>
                </c:pt>
                <c:pt idx="52">
                  <c:v>723.404255319149</c:v>
                </c:pt>
                <c:pt idx="53">
                  <c:v>847.82608695652175</c:v>
                </c:pt>
                <c:pt idx="54">
                  <c:v>791.66666666666674</c:v>
                </c:pt>
                <c:pt idx="55">
                  <c:v>744.68085106382978</c:v>
                </c:pt>
                <c:pt idx="56">
                  <c:v>739.13043478260863</c:v>
                </c:pt>
                <c:pt idx="57">
                  <c:v>666.66666666666674</c:v>
                </c:pt>
                <c:pt idx="58">
                  <c:v>659.57446808510645</c:v>
                </c:pt>
                <c:pt idx="59">
                  <c:v>625</c:v>
                </c:pt>
                <c:pt idx="60">
                  <c:v>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424F-AED1-44A3FC09FBF2}"/>
            </c:ext>
          </c:extLst>
        </c:ser>
        <c:ser>
          <c:idx val="2"/>
          <c:order val="2"/>
          <c:tx>
            <c:strRef>
              <c:f>'Industry Mower Total Sales'!$D$1</c:f>
              <c:strCache>
                <c:ptCount val="1"/>
                <c:pt idx="0">
                  <c:v>Eur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'Industry Mower Total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'Industry Mower Total Sales'!$D$1:$D$61</c:f>
              <c:numCache>
                <c:formatCode>0</c:formatCode>
                <c:ptCount val="61"/>
                <c:pt idx="0" formatCode="General">
                  <c:v>0</c:v>
                </c:pt>
                <c:pt idx="1">
                  <c:v>13090.90909090909</c:v>
                </c:pt>
                <c:pt idx="2">
                  <c:v>17678.571428571428</c:v>
                </c:pt>
                <c:pt idx="3">
                  <c:v>22758.62068965517</c:v>
                </c:pt>
                <c:pt idx="4">
                  <c:v>27966.101694915254</c:v>
                </c:pt>
                <c:pt idx="5">
                  <c:v>27894.736842105263</c:v>
                </c:pt>
                <c:pt idx="6">
                  <c:v>30566.037735849059</c:v>
                </c:pt>
                <c:pt idx="7">
                  <c:v>29444.444444444445</c:v>
                </c:pt>
                <c:pt idx="8">
                  <c:v>28363.636363636364</c:v>
                </c:pt>
                <c:pt idx="9">
                  <c:v>28392.857142857141</c:v>
                </c:pt>
                <c:pt idx="10">
                  <c:v>24444.444444444445</c:v>
                </c:pt>
                <c:pt idx="11">
                  <c:v>18000</c:v>
                </c:pt>
                <c:pt idx="12">
                  <c:v>12452.830188679245</c:v>
                </c:pt>
                <c:pt idx="13">
                  <c:v>12777.777777777777</c:v>
                </c:pt>
                <c:pt idx="14">
                  <c:v>18214.285714285714</c:v>
                </c:pt>
                <c:pt idx="15">
                  <c:v>23888.888888888891</c:v>
                </c:pt>
                <c:pt idx="16">
                  <c:v>29454.545454545456</c:v>
                </c:pt>
                <c:pt idx="17">
                  <c:v>29464.285714285714</c:v>
                </c:pt>
                <c:pt idx="18">
                  <c:v>27413.793103448275</c:v>
                </c:pt>
                <c:pt idx="19">
                  <c:v>27368.421052631576</c:v>
                </c:pt>
                <c:pt idx="20">
                  <c:v>27321.428571428572</c:v>
                </c:pt>
                <c:pt idx="21">
                  <c:v>29444.444444444445</c:v>
                </c:pt>
                <c:pt idx="22">
                  <c:v>23773.584905660377</c:v>
                </c:pt>
                <c:pt idx="23">
                  <c:v>17307.692307692309</c:v>
                </c:pt>
                <c:pt idx="24">
                  <c:v>12941.176470588236</c:v>
                </c:pt>
                <c:pt idx="25">
                  <c:v>10961.538461538463</c:v>
                </c:pt>
                <c:pt idx="26">
                  <c:v>15272.727272727272</c:v>
                </c:pt>
                <c:pt idx="27">
                  <c:v>20555.555555555555</c:v>
                </c:pt>
                <c:pt idx="28">
                  <c:v>26785.714285714286</c:v>
                </c:pt>
                <c:pt idx="29">
                  <c:v>24827.586206896551</c:v>
                </c:pt>
                <c:pt idx="30">
                  <c:v>24736.842105263157</c:v>
                </c:pt>
                <c:pt idx="31">
                  <c:v>24827.586206896551</c:v>
                </c:pt>
                <c:pt idx="32">
                  <c:v>25178.571428571428</c:v>
                </c:pt>
                <c:pt idx="33">
                  <c:v>24545.454545454544</c:v>
                </c:pt>
                <c:pt idx="34">
                  <c:v>19285.714285714286</c:v>
                </c:pt>
                <c:pt idx="35">
                  <c:v>15272.727272727272</c:v>
                </c:pt>
                <c:pt idx="36">
                  <c:v>9107.1428571428569</c:v>
                </c:pt>
                <c:pt idx="37">
                  <c:v>8571.4285714285706</c:v>
                </c:pt>
                <c:pt idx="38">
                  <c:v>13157.894736842105</c:v>
                </c:pt>
                <c:pt idx="39">
                  <c:v>19655.172413793101</c:v>
                </c:pt>
                <c:pt idx="40">
                  <c:v>25178.571428571428</c:v>
                </c:pt>
                <c:pt idx="41">
                  <c:v>23103.448275862069</c:v>
                </c:pt>
                <c:pt idx="42">
                  <c:v>24285.714285714286</c:v>
                </c:pt>
                <c:pt idx="43">
                  <c:v>24736.842105263157</c:v>
                </c:pt>
                <c:pt idx="44">
                  <c:v>26607.142857142855</c:v>
                </c:pt>
                <c:pt idx="45">
                  <c:v>22982.456140350878</c:v>
                </c:pt>
                <c:pt idx="46">
                  <c:v>16896.551724137931</c:v>
                </c:pt>
                <c:pt idx="47">
                  <c:v>13750</c:v>
                </c:pt>
                <c:pt idx="48">
                  <c:v>7818.181818181818</c:v>
                </c:pt>
                <c:pt idx="49">
                  <c:v>7547.1698113207549</c:v>
                </c:pt>
                <c:pt idx="50">
                  <c:v>13888.888888888889</c:v>
                </c:pt>
                <c:pt idx="51">
                  <c:v>18301.886792452831</c:v>
                </c:pt>
                <c:pt idx="52">
                  <c:v>25192.307692307695</c:v>
                </c:pt>
                <c:pt idx="53">
                  <c:v>24705.882352941178</c:v>
                </c:pt>
                <c:pt idx="54">
                  <c:v>25306.12244897959</c:v>
                </c:pt>
                <c:pt idx="55">
                  <c:v>27083.333333333332</c:v>
                </c:pt>
                <c:pt idx="56">
                  <c:v>26041.666666666668</c:v>
                </c:pt>
                <c:pt idx="57">
                  <c:v>26304.347826086956</c:v>
                </c:pt>
                <c:pt idx="58">
                  <c:v>22558.139534883721</c:v>
                </c:pt>
                <c:pt idx="59">
                  <c:v>14772.727272727274</c:v>
                </c:pt>
                <c:pt idx="60">
                  <c:v>6976.7441860465124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1-424F-AED1-44A3FC09FBF2}"/>
            </c:ext>
          </c:extLst>
        </c:ser>
        <c:ser>
          <c:idx val="3"/>
          <c:order val="3"/>
          <c:tx>
            <c:strRef>
              <c:f>'Industry Mower Total Sales'!$E$1</c:f>
              <c:strCache>
                <c:ptCount val="1"/>
                <c:pt idx="0">
                  <c:v>Pac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'Industry Mower Total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'Industry Mower Total Sales'!$E$1:$E$61</c:f>
              <c:numCache>
                <c:formatCode>0</c:formatCode>
                <c:ptCount val="61"/>
                <c:pt idx="0" formatCode="General">
                  <c:v>0</c:v>
                </c:pt>
                <c:pt idx="1">
                  <c:v>1045</c:v>
                </c:pt>
                <c:pt idx="2">
                  <c:v>1111.1111111111111</c:v>
                </c:pt>
                <c:pt idx="3">
                  <c:v>1067.9611650485438</c:v>
                </c:pt>
                <c:pt idx="4">
                  <c:v>1237.1134020618556</c:v>
                </c:pt>
                <c:pt idx="5">
                  <c:v>1313.1313131313132</c:v>
                </c:pt>
                <c:pt idx="6">
                  <c:v>1176.4705882352941</c:v>
                </c:pt>
                <c:pt idx="7">
                  <c:v>1359.2233009708739</c:v>
                </c:pt>
                <c:pt idx="8">
                  <c:v>1238.0952380952381</c:v>
                </c:pt>
                <c:pt idx="9">
                  <c:v>1214.9532710280373</c:v>
                </c:pt>
                <c:pt idx="10">
                  <c:v>1153.8461538461538</c:v>
                </c:pt>
                <c:pt idx="11">
                  <c:v>1262.1359223300972</c:v>
                </c:pt>
                <c:pt idx="12">
                  <c:v>1386.1386138613861</c:v>
                </c:pt>
                <c:pt idx="13">
                  <c:v>1443.2989690721649</c:v>
                </c:pt>
                <c:pt idx="14">
                  <c:v>1515.151515151515</c:v>
                </c:pt>
                <c:pt idx="15">
                  <c:v>1372.5490196078433</c:v>
                </c:pt>
                <c:pt idx="16">
                  <c:v>1442.3076923076924</c:v>
                </c:pt>
                <c:pt idx="17">
                  <c:v>1214.9532710280373</c:v>
                </c:pt>
                <c:pt idx="18">
                  <c:v>1333.3333333333335</c:v>
                </c:pt>
                <c:pt idx="19">
                  <c:v>1415.0943396226417</c:v>
                </c:pt>
                <c:pt idx="20">
                  <c:v>1296.2962962962963</c:v>
                </c:pt>
                <c:pt idx="21">
                  <c:v>1401.8691588785048</c:v>
                </c:pt>
                <c:pt idx="22">
                  <c:v>1467.8899082568807</c:v>
                </c:pt>
                <c:pt idx="23">
                  <c:v>1351.3513513513512</c:v>
                </c:pt>
                <c:pt idx="24">
                  <c:v>1388.8888888888889</c:v>
                </c:pt>
                <c:pt idx="25">
                  <c:v>1509.433962264151</c:v>
                </c:pt>
                <c:pt idx="26">
                  <c:v>1401.8691588785048</c:v>
                </c:pt>
                <c:pt idx="27">
                  <c:v>1523.8095238095239</c:v>
                </c:pt>
                <c:pt idx="28">
                  <c:v>1574.0740740740741</c:v>
                </c:pt>
                <c:pt idx="29">
                  <c:v>1467.8899082568807</c:v>
                </c:pt>
                <c:pt idx="30">
                  <c:v>1559.6330275229359</c:v>
                </c:pt>
                <c:pt idx="31">
                  <c:v>1441.4414414414414</c:v>
                </c:pt>
                <c:pt idx="32">
                  <c:v>1545.4545454545455</c:v>
                </c:pt>
                <c:pt idx="33">
                  <c:v>1666.6666666666667</c:v>
                </c:pt>
                <c:pt idx="34">
                  <c:v>1698.1132075471698</c:v>
                </c:pt>
                <c:pt idx="35">
                  <c:v>1809.5238095238096</c:v>
                </c:pt>
                <c:pt idx="36">
                  <c:v>1730.7692307692309</c:v>
                </c:pt>
                <c:pt idx="37">
                  <c:v>1886.7924528301887</c:v>
                </c:pt>
                <c:pt idx="38">
                  <c:v>1844.6601941747574</c:v>
                </c:pt>
                <c:pt idx="39">
                  <c:v>1923.0769230769231</c:v>
                </c:pt>
                <c:pt idx="40">
                  <c:v>1981.1320754716983</c:v>
                </c:pt>
                <c:pt idx="41">
                  <c:v>1809.5238095238096</c:v>
                </c:pt>
                <c:pt idx="42">
                  <c:v>1941.7475728155341</c:v>
                </c:pt>
                <c:pt idx="43">
                  <c:v>1960.7843137254904</c:v>
                </c:pt>
                <c:pt idx="44">
                  <c:v>2000</c:v>
                </c:pt>
                <c:pt idx="45">
                  <c:v>2075.4716981132078</c:v>
                </c:pt>
                <c:pt idx="46">
                  <c:v>2019.2307692307693</c:v>
                </c:pt>
                <c:pt idx="47">
                  <c:v>2095.2380952380954</c:v>
                </c:pt>
                <c:pt idx="48">
                  <c:v>2149.532710280374</c:v>
                </c:pt>
                <c:pt idx="49">
                  <c:v>1851.851851851852</c:v>
                </c:pt>
                <c:pt idx="50">
                  <c:v>1743.119266055046</c:v>
                </c:pt>
                <c:pt idx="51">
                  <c:v>1891.8918918918919</c:v>
                </c:pt>
                <c:pt idx="52">
                  <c:v>2037.037037037037</c:v>
                </c:pt>
                <c:pt idx="53">
                  <c:v>1886.7924528301887</c:v>
                </c:pt>
                <c:pt idx="54">
                  <c:v>1944.4444444444446</c:v>
                </c:pt>
                <c:pt idx="55">
                  <c:v>2169.8113207547171</c:v>
                </c:pt>
                <c:pt idx="56">
                  <c:v>2037.037037037037</c:v>
                </c:pt>
                <c:pt idx="57">
                  <c:v>2018.3486238532109</c:v>
                </c:pt>
                <c:pt idx="58">
                  <c:v>2072.0720720720719</c:v>
                </c:pt>
                <c:pt idx="59">
                  <c:v>2181.818181818182</c:v>
                </c:pt>
                <c:pt idx="60">
                  <c:v>2035.3982300884954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21-424F-AED1-44A3FC09F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3007104"/>
        <c:axId val="1413010848"/>
      </c:lineChart>
      <c:dateAx>
        <c:axId val="141300710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010848"/>
        <c:crosses val="autoZero"/>
        <c:auto val="0"/>
        <c:lblOffset val="100"/>
        <c:baseTimeUnit val="months"/>
        <c:majorUnit val="4"/>
        <c:majorTimeUnit val="months"/>
      </c:dateAx>
      <c:valAx>
        <c:axId val="141301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00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Industry Mower Sales Ratio by Region per</a:t>
            </a:r>
            <a:r>
              <a:rPr lang="en-US" baseline="0"/>
              <a:t>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'Industry Mower Total Sales'!$B$1</c:f>
              <c:strCache>
                <c:ptCount val="1"/>
                <c:pt idx="0">
                  <c:v>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'Industry Mower Total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'Industry Mower Total Sales'!$B$2:$B$61</c:f>
              <c:numCache>
                <c:formatCode>0</c:formatCode>
                <c:ptCount val="60"/>
                <c:pt idx="0">
                  <c:v>60000</c:v>
                </c:pt>
                <c:pt idx="1">
                  <c:v>77184.466019417479</c:v>
                </c:pt>
                <c:pt idx="2">
                  <c:v>77884.61538461539</c:v>
                </c:pt>
                <c:pt idx="3">
                  <c:v>86190.476190476198</c:v>
                </c:pt>
                <c:pt idx="4">
                  <c:v>96116.504854368934</c:v>
                </c:pt>
                <c:pt idx="5">
                  <c:v>97142.857142857145</c:v>
                </c:pt>
                <c:pt idx="6">
                  <c:v>84757.281553398061</c:v>
                </c:pt>
                <c:pt idx="7">
                  <c:v>79803.921568627455</c:v>
                </c:pt>
                <c:pt idx="8">
                  <c:v>64800</c:v>
                </c:pt>
                <c:pt idx="9">
                  <c:v>59306.930693069306</c:v>
                </c:pt>
                <c:pt idx="10">
                  <c:v>52156.862745098042</c:v>
                </c:pt>
                <c:pt idx="11">
                  <c:v>45048.543689320388</c:v>
                </c:pt>
                <c:pt idx="12">
                  <c:v>58627.450980392161</c:v>
                </c:pt>
                <c:pt idx="13">
                  <c:v>76200</c:v>
                </c:pt>
                <c:pt idx="14">
                  <c:v>82871.287128712866</c:v>
                </c:pt>
                <c:pt idx="15">
                  <c:v>84903.846153846156</c:v>
                </c:pt>
                <c:pt idx="16">
                  <c:v>93100</c:v>
                </c:pt>
                <c:pt idx="17">
                  <c:v>93000</c:v>
                </c:pt>
                <c:pt idx="18">
                  <c:v>83047.619047619053</c:v>
                </c:pt>
                <c:pt idx="19">
                  <c:v>74854.368932038837</c:v>
                </c:pt>
                <c:pt idx="20">
                  <c:v>60769.230769230773</c:v>
                </c:pt>
                <c:pt idx="21">
                  <c:v>55619.047619047618</c:v>
                </c:pt>
                <c:pt idx="22">
                  <c:v>48155.339805825242</c:v>
                </c:pt>
                <c:pt idx="23">
                  <c:v>42647.058823529413</c:v>
                </c:pt>
                <c:pt idx="24">
                  <c:v>57884.61538461539</c:v>
                </c:pt>
                <c:pt idx="25">
                  <c:v>77647.058823529413</c:v>
                </c:pt>
                <c:pt idx="26">
                  <c:v>81844.660194174765</c:v>
                </c:pt>
                <c:pt idx="27">
                  <c:v>86095.238095238092</c:v>
                </c:pt>
                <c:pt idx="28">
                  <c:v>91775.700934579436</c:v>
                </c:pt>
                <c:pt idx="29">
                  <c:v>100679.61165048544</c:v>
                </c:pt>
                <c:pt idx="30">
                  <c:v>86190.476190476198</c:v>
                </c:pt>
                <c:pt idx="31">
                  <c:v>71886.792452830196</c:v>
                </c:pt>
                <c:pt idx="32">
                  <c:v>60000</c:v>
                </c:pt>
                <c:pt idx="33">
                  <c:v>55566.037735849059</c:v>
                </c:pt>
                <c:pt idx="34">
                  <c:v>50857.142857142862</c:v>
                </c:pt>
                <c:pt idx="35">
                  <c:v>42596.153846153851</c:v>
                </c:pt>
                <c:pt idx="36">
                  <c:v>58095.238095238099</c:v>
                </c:pt>
                <c:pt idx="37">
                  <c:v>75566.037735849066</c:v>
                </c:pt>
                <c:pt idx="38">
                  <c:v>80285.71428571429</c:v>
                </c:pt>
                <c:pt idx="39">
                  <c:v>85140.186915887854</c:v>
                </c:pt>
                <c:pt idx="40">
                  <c:v>90092.592592592599</c:v>
                </c:pt>
                <c:pt idx="41">
                  <c:v>95471.698113207545</c:v>
                </c:pt>
                <c:pt idx="42">
                  <c:v>87307.692307692312</c:v>
                </c:pt>
                <c:pt idx="43">
                  <c:v>74476.190476190473</c:v>
                </c:pt>
                <c:pt idx="44">
                  <c:v>61698.113207547169</c:v>
                </c:pt>
                <c:pt idx="45">
                  <c:v>57238.095238095237</c:v>
                </c:pt>
                <c:pt idx="46">
                  <c:v>50673.076923076922</c:v>
                </c:pt>
                <c:pt idx="47">
                  <c:v>51238.095238095237</c:v>
                </c:pt>
                <c:pt idx="48">
                  <c:v>59711.538461538461</c:v>
                </c:pt>
                <c:pt idx="49">
                  <c:v>77961.165048543699</c:v>
                </c:pt>
                <c:pt idx="50">
                  <c:v>83725.490196078434</c:v>
                </c:pt>
                <c:pt idx="51">
                  <c:v>90297.029702970292</c:v>
                </c:pt>
                <c:pt idx="52">
                  <c:v>91142.857142857145</c:v>
                </c:pt>
                <c:pt idx="53">
                  <c:v>99320.388349514571</c:v>
                </c:pt>
                <c:pt idx="54">
                  <c:v>93921.568627450994</c:v>
                </c:pt>
                <c:pt idx="55">
                  <c:v>73142.857142857145</c:v>
                </c:pt>
                <c:pt idx="56">
                  <c:v>66699.029126213602</c:v>
                </c:pt>
                <c:pt idx="57">
                  <c:v>56476.190476190481</c:v>
                </c:pt>
                <c:pt idx="58">
                  <c:v>51067.961165048546</c:v>
                </c:pt>
                <c:pt idx="59">
                  <c:v>46893.203883495145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38-4125-A586-079415A3A04C}"/>
            </c:ext>
          </c:extLst>
        </c:ser>
        <c:ser>
          <c:idx val="1"/>
          <c:order val="1"/>
          <c:tx>
            <c:strRef>
              <c:f>'Industry Mower Total Sales'!$C$1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'Industry Mower Total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'Industry Mower Total Sales'!$C$2:$C$61</c:f>
              <c:numCache>
                <c:formatCode>0</c:formatCode>
                <c:ptCount val="60"/>
                <c:pt idx="0">
                  <c:v>571.42857142857144</c:v>
                </c:pt>
                <c:pt idx="1">
                  <c:v>611.11111111111109</c:v>
                </c:pt>
                <c:pt idx="2">
                  <c:v>657.8947368421052</c:v>
                </c:pt>
                <c:pt idx="3">
                  <c:v>777.77777777777783</c:v>
                </c:pt>
                <c:pt idx="4">
                  <c:v>885.71428571428578</c:v>
                </c:pt>
                <c:pt idx="5">
                  <c:v>882.35294117647049</c:v>
                </c:pt>
                <c:pt idx="6">
                  <c:v>848.4848484848485</c:v>
                </c:pt>
                <c:pt idx="7">
                  <c:v>735.29411764705878</c:v>
                </c:pt>
                <c:pt idx="8">
                  <c:v>657.14285714285722</c:v>
                </c:pt>
                <c:pt idx="9">
                  <c:v>594.59459459459458</c:v>
                </c:pt>
                <c:pt idx="10">
                  <c:v>552.63157894736844</c:v>
                </c:pt>
                <c:pt idx="11">
                  <c:v>461.53846153846155</c:v>
                </c:pt>
                <c:pt idx="12">
                  <c:v>552.63157894736844</c:v>
                </c:pt>
                <c:pt idx="13">
                  <c:v>615.38461538461536</c:v>
                </c:pt>
                <c:pt idx="14">
                  <c:v>657.8947368421052</c:v>
                </c:pt>
                <c:pt idx="15">
                  <c:v>783.78378378378375</c:v>
                </c:pt>
                <c:pt idx="16">
                  <c:v>846.15384615384608</c:v>
                </c:pt>
                <c:pt idx="17">
                  <c:v>837.83783783783781</c:v>
                </c:pt>
                <c:pt idx="18">
                  <c:v>763.15789473684208</c:v>
                </c:pt>
                <c:pt idx="19">
                  <c:v>694</c:v>
                </c:pt>
                <c:pt idx="20">
                  <c:v>625</c:v>
                </c:pt>
                <c:pt idx="21">
                  <c:v>609.7560975609756</c:v>
                </c:pt>
                <c:pt idx="22">
                  <c:v>571.42857142857144</c:v>
                </c:pt>
                <c:pt idx="23">
                  <c:v>512.19512195121956</c:v>
                </c:pt>
                <c:pt idx="24">
                  <c:v>536.58536585365857</c:v>
                </c:pt>
                <c:pt idx="25">
                  <c:v>595.2380952380953</c:v>
                </c:pt>
                <c:pt idx="26">
                  <c:v>658.53658536585374</c:v>
                </c:pt>
                <c:pt idx="27">
                  <c:v>756.09756097560978</c:v>
                </c:pt>
                <c:pt idx="28">
                  <c:v>878.04878048780495</c:v>
                </c:pt>
                <c:pt idx="29">
                  <c:v>825</c:v>
                </c:pt>
                <c:pt idx="30">
                  <c:v>756.09756097560978</c:v>
                </c:pt>
                <c:pt idx="31">
                  <c:v>714.28571428571433</c:v>
                </c:pt>
                <c:pt idx="32">
                  <c:v>651.16279069767438</c:v>
                </c:pt>
                <c:pt idx="33">
                  <c:v>642.85714285714289</c:v>
                </c:pt>
                <c:pt idx="34">
                  <c:v>619.04761904761904</c:v>
                </c:pt>
                <c:pt idx="35">
                  <c:v>547.61904761904759</c:v>
                </c:pt>
                <c:pt idx="36">
                  <c:v>581.39534883720933</c:v>
                </c:pt>
                <c:pt idx="37">
                  <c:v>613.63636363636363</c:v>
                </c:pt>
                <c:pt idx="38">
                  <c:v>622.22222222222217</c:v>
                </c:pt>
                <c:pt idx="39">
                  <c:v>727.27272727272725</c:v>
                </c:pt>
                <c:pt idx="40">
                  <c:v>826.08695652173913</c:v>
                </c:pt>
                <c:pt idx="41">
                  <c:v>782.60869565217388</c:v>
                </c:pt>
                <c:pt idx="42">
                  <c:v>680.85106382978722</c:v>
                </c:pt>
                <c:pt idx="43">
                  <c:v>645.83333333333337</c:v>
                </c:pt>
                <c:pt idx="44">
                  <c:v>625</c:v>
                </c:pt>
                <c:pt idx="45">
                  <c:v>617.02127659574467</c:v>
                </c:pt>
                <c:pt idx="46">
                  <c:v>586.95652173913038</c:v>
                </c:pt>
                <c:pt idx="47">
                  <c:v>590.90909090909088</c:v>
                </c:pt>
                <c:pt idx="48">
                  <c:v>562.5</c:v>
                </c:pt>
                <c:pt idx="49">
                  <c:v>571.42857142857144</c:v>
                </c:pt>
                <c:pt idx="50">
                  <c:v>625</c:v>
                </c:pt>
                <c:pt idx="51">
                  <c:v>723.404255319149</c:v>
                </c:pt>
                <c:pt idx="52">
                  <c:v>847.82608695652175</c:v>
                </c:pt>
                <c:pt idx="53">
                  <c:v>791.66666666666674</c:v>
                </c:pt>
                <c:pt idx="54">
                  <c:v>744.68085106382978</c:v>
                </c:pt>
                <c:pt idx="55">
                  <c:v>739.13043478260863</c:v>
                </c:pt>
                <c:pt idx="56">
                  <c:v>666.66666666666674</c:v>
                </c:pt>
                <c:pt idx="57">
                  <c:v>659.57446808510645</c:v>
                </c:pt>
                <c:pt idx="58">
                  <c:v>625</c:v>
                </c:pt>
                <c:pt idx="59">
                  <c:v>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38-4125-A586-079415A3A04C}"/>
            </c:ext>
          </c:extLst>
        </c:ser>
        <c:ser>
          <c:idx val="2"/>
          <c:order val="2"/>
          <c:tx>
            <c:strRef>
              <c:f>'Industry Mower Total Sales'!$D$1</c:f>
              <c:strCache>
                <c:ptCount val="1"/>
                <c:pt idx="0">
                  <c:v>Eur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'Industry Mower Total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'Industry Mower Total Sales'!$D$2:$D$61</c:f>
              <c:numCache>
                <c:formatCode>0</c:formatCode>
                <c:ptCount val="60"/>
                <c:pt idx="0">
                  <c:v>13090.90909090909</c:v>
                </c:pt>
                <c:pt idx="1">
                  <c:v>17678.571428571428</c:v>
                </c:pt>
                <c:pt idx="2">
                  <c:v>22758.62068965517</c:v>
                </c:pt>
                <c:pt idx="3">
                  <c:v>27966.101694915254</c:v>
                </c:pt>
                <c:pt idx="4">
                  <c:v>27894.736842105263</c:v>
                </c:pt>
                <c:pt idx="5">
                  <c:v>30566.037735849059</c:v>
                </c:pt>
                <c:pt idx="6">
                  <c:v>29444.444444444445</c:v>
                </c:pt>
                <c:pt idx="7">
                  <c:v>28363.636363636364</c:v>
                </c:pt>
                <c:pt idx="8">
                  <c:v>28392.857142857141</c:v>
                </c:pt>
                <c:pt idx="9">
                  <c:v>24444.444444444445</c:v>
                </c:pt>
                <c:pt idx="10">
                  <c:v>18000</c:v>
                </c:pt>
                <c:pt idx="11">
                  <c:v>12452.830188679245</c:v>
                </c:pt>
                <c:pt idx="12">
                  <c:v>12777.777777777777</c:v>
                </c:pt>
                <c:pt idx="13">
                  <c:v>18214.285714285714</c:v>
                </c:pt>
                <c:pt idx="14">
                  <c:v>23888.888888888891</c:v>
                </c:pt>
                <c:pt idx="15">
                  <c:v>29454.545454545456</c:v>
                </c:pt>
                <c:pt idx="16">
                  <c:v>29464.285714285714</c:v>
                </c:pt>
                <c:pt idx="17">
                  <c:v>27413.793103448275</c:v>
                </c:pt>
                <c:pt idx="18">
                  <c:v>27368.421052631576</c:v>
                </c:pt>
                <c:pt idx="19">
                  <c:v>27321.428571428572</c:v>
                </c:pt>
                <c:pt idx="20">
                  <c:v>29444.444444444445</c:v>
                </c:pt>
                <c:pt idx="21">
                  <c:v>23773.584905660377</c:v>
                </c:pt>
                <c:pt idx="22">
                  <c:v>17307.692307692309</c:v>
                </c:pt>
                <c:pt idx="23">
                  <c:v>12941.176470588236</c:v>
                </c:pt>
                <c:pt idx="24">
                  <c:v>10961.538461538463</c:v>
                </c:pt>
                <c:pt idx="25">
                  <c:v>15272.727272727272</c:v>
                </c:pt>
                <c:pt idx="26">
                  <c:v>20555.555555555555</c:v>
                </c:pt>
                <c:pt idx="27">
                  <c:v>26785.714285714286</c:v>
                </c:pt>
                <c:pt idx="28">
                  <c:v>24827.586206896551</c:v>
                </c:pt>
                <c:pt idx="29">
                  <c:v>24736.842105263157</c:v>
                </c:pt>
                <c:pt idx="30">
                  <c:v>24827.586206896551</c:v>
                </c:pt>
                <c:pt idx="31">
                  <c:v>25178.571428571428</c:v>
                </c:pt>
                <c:pt idx="32">
                  <c:v>24545.454545454544</c:v>
                </c:pt>
                <c:pt idx="33">
                  <c:v>19285.714285714286</c:v>
                </c:pt>
                <c:pt idx="34">
                  <c:v>15272.727272727272</c:v>
                </c:pt>
                <c:pt idx="35">
                  <c:v>9107.1428571428569</c:v>
                </c:pt>
                <c:pt idx="36">
                  <c:v>8571.4285714285706</c:v>
                </c:pt>
                <c:pt idx="37">
                  <c:v>13157.894736842105</c:v>
                </c:pt>
                <c:pt idx="38">
                  <c:v>19655.172413793101</c:v>
                </c:pt>
                <c:pt idx="39">
                  <c:v>25178.571428571428</c:v>
                </c:pt>
                <c:pt idx="40">
                  <c:v>23103.448275862069</c:v>
                </c:pt>
                <c:pt idx="41">
                  <c:v>24285.714285714286</c:v>
                </c:pt>
                <c:pt idx="42">
                  <c:v>24736.842105263157</c:v>
                </c:pt>
                <c:pt idx="43">
                  <c:v>26607.142857142855</c:v>
                </c:pt>
                <c:pt idx="44">
                  <c:v>22982.456140350878</c:v>
                </c:pt>
                <c:pt idx="45">
                  <c:v>16896.551724137931</c:v>
                </c:pt>
                <c:pt idx="46">
                  <c:v>13750</c:v>
                </c:pt>
                <c:pt idx="47">
                  <c:v>7818.181818181818</c:v>
                </c:pt>
                <c:pt idx="48">
                  <c:v>7547.1698113207549</c:v>
                </c:pt>
                <c:pt idx="49">
                  <c:v>13888.888888888889</c:v>
                </c:pt>
                <c:pt idx="50">
                  <c:v>18301.886792452831</c:v>
                </c:pt>
                <c:pt idx="51">
                  <c:v>25192.307692307695</c:v>
                </c:pt>
                <c:pt idx="52">
                  <c:v>24705.882352941178</c:v>
                </c:pt>
                <c:pt idx="53">
                  <c:v>25306.12244897959</c:v>
                </c:pt>
                <c:pt idx="54">
                  <c:v>27083.333333333332</c:v>
                </c:pt>
                <c:pt idx="55">
                  <c:v>26041.666666666668</c:v>
                </c:pt>
                <c:pt idx="56">
                  <c:v>26304.347826086956</c:v>
                </c:pt>
                <c:pt idx="57">
                  <c:v>22558.139534883721</c:v>
                </c:pt>
                <c:pt idx="58">
                  <c:v>14772.727272727274</c:v>
                </c:pt>
                <c:pt idx="59">
                  <c:v>6976.7441860465124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38-4125-A586-079415A3A04C}"/>
            </c:ext>
          </c:extLst>
        </c:ser>
        <c:ser>
          <c:idx val="3"/>
          <c:order val="3"/>
          <c:tx>
            <c:strRef>
              <c:f>'Industry Mower Total Sales'!$E$1</c:f>
              <c:strCache>
                <c:ptCount val="1"/>
                <c:pt idx="0">
                  <c:v>Pac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'Industry Mower Total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'Industry Mower Total Sales'!$E$2:$E$61</c:f>
              <c:numCache>
                <c:formatCode>0</c:formatCode>
                <c:ptCount val="60"/>
                <c:pt idx="0">
                  <c:v>1045</c:v>
                </c:pt>
                <c:pt idx="1">
                  <c:v>1111.1111111111111</c:v>
                </c:pt>
                <c:pt idx="2">
                  <c:v>1067.9611650485438</c:v>
                </c:pt>
                <c:pt idx="3">
                  <c:v>1237.1134020618556</c:v>
                </c:pt>
                <c:pt idx="4">
                  <c:v>1313.1313131313132</c:v>
                </c:pt>
                <c:pt idx="5">
                  <c:v>1176.4705882352941</c:v>
                </c:pt>
                <c:pt idx="6">
                  <c:v>1359.2233009708739</c:v>
                </c:pt>
                <c:pt idx="7">
                  <c:v>1238.0952380952381</c:v>
                </c:pt>
                <c:pt idx="8">
                  <c:v>1214.9532710280373</c:v>
                </c:pt>
                <c:pt idx="9">
                  <c:v>1153.8461538461538</c:v>
                </c:pt>
                <c:pt idx="10">
                  <c:v>1262.1359223300972</c:v>
                </c:pt>
                <c:pt idx="11">
                  <c:v>1386.1386138613861</c:v>
                </c:pt>
                <c:pt idx="12">
                  <c:v>1443.2989690721649</c:v>
                </c:pt>
                <c:pt idx="13">
                  <c:v>1515.151515151515</c:v>
                </c:pt>
                <c:pt idx="14">
                  <c:v>1372.5490196078433</c:v>
                </c:pt>
                <c:pt idx="15">
                  <c:v>1442.3076923076924</c:v>
                </c:pt>
                <c:pt idx="16">
                  <c:v>1214.9532710280373</c:v>
                </c:pt>
                <c:pt idx="17">
                  <c:v>1333.3333333333335</c:v>
                </c:pt>
                <c:pt idx="18">
                  <c:v>1415.0943396226417</c:v>
                </c:pt>
                <c:pt idx="19">
                  <c:v>1296.2962962962963</c:v>
                </c:pt>
                <c:pt idx="20">
                  <c:v>1401.8691588785048</c:v>
                </c:pt>
                <c:pt idx="21">
                  <c:v>1467.8899082568807</c:v>
                </c:pt>
                <c:pt idx="22">
                  <c:v>1351.3513513513512</c:v>
                </c:pt>
                <c:pt idx="23">
                  <c:v>1388.8888888888889</c:v>
                </c:pt>
                <c:pt idx="24">
                  <c:v>1509.433962264151</c:v>
                </c:pt>
                <c:pt idx="25">
                  <c:v>1401.8691588785048</c:v>
                </c:pt>
                <c:pt idx="26">
                  <c:v>1523.8095238095239</c:v>
                </c:pt>
                <c:pt idx="27">
                  <c:v>1574.0740740740741</c:v>
                </c:pt>
                <c:pt idx="28">
                  <c:v>1467.8899082568807</c:v>
                </c:pt>
                <c:pt idx="29">
                  <c:v>1559.6330275229359</c:v>
                </c:pt>
                <c:pt idx="30">
                  <c:v>1441.4414414414414</c:v>
                </c:pt>
                <c:pt idx="31">
                  <c:v>1545.4545454545455</c:v>
                </c:pt>
                <c:pt idx="32">
                  <c:v>1666.6666666666667</c:v>
                </c:pt>
                <c:pt idx="33">
                  <c:v>1698.1132075471698</c:v>
                </c:pt>
                <c:pt idx="34">
                  <c:v>1809.5238095238096</c:v>
                </c:pt>
                <c:pt idx="35">
                  <c:v>1730.7692307692309</c:v>
                </c:pt>
                <c:pt idx="36">
                  <c:v>1886.7924528301887</c:v>
                </c:pt>
                <c:pt idx="37">
                  <c:v>1844.6601941747574</c:v>
                </c:pt>
                <c:pt idx="38">
                  <c:v>1923.0769230769231</c:v>
                </c:pt>
                <c:pt idx="39">
                  <c:v>1981.1320754716983</c:v>
                </c:pt>
                <c:pt idx="40">
                  <c:v>1809.5238095238096</c:v>
                </c:pt>
                <c:pt idx="41">
                  <c:v>1941.7475728155341</c:v>
                </c:pt>
                <c:pt idx="42">
                  <c:v>1960.7843137254904</c:v>
                </c:pt>
                <c:pt idx="43">
                  <c:v>2000</c:v>
                </c:pt>
                <c:pt idx="44">
                  <c:v>2075.4716981132078</c:v>
                </c:pt>
                <c:pt idx="45">
                  <c:v>2019.2307692307693</c:v>
                </c:pt>
                <c:pt idx="46">
                  <c:v>2095.2380952380954</c:v>
                </c:pt>
                <c:pt idx="47">
                  <c:v>2149.532710280374</c:v>
                </c:pt>
                <c:pt idx="48">
                  <c:v>1851.851851851852</c:v>
                </c:pt>
                <c:pt idx="49">
                  <c:v>1743.119266055046</c:v>
                </c:pt>
                <c:pt idx="50">
                  <c:v>1891.8918918918919</c:v>
                </c:pt>
                <c:pt idx="51">
                  <c:v>2037.037037037037</c:v>
                </c:pt>
                <c:pt idx="52">
                  <c:v>1886.7924528301887</c:v>
                </c:pt>
                <c:pt idx="53">
                  <c:v>1944.4444444444446</c:v>
                </c:pt>
                <c:pt idx="54">
                  <c:v>2169.8113207547171</c:v>
                </c:pt>
                <c:pt idx="55">
                  <c:v>2037.037037037037</c:v>
                </c:pt>
                <c:pt idx="56">
                  <c:v>2018.3486238532109</c:v>
                </c:pt>
                <c:pt idx="57">
                  <c:v>2072.0720720720719</c:v>
                </c:pt>
                <c:pt idx="58">
                  <c:v>2181.818181818182</c:v>
                </c:pt>
                <c:pt idx="59">
                  <c:v>2035.3982300884954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38-4125-A586-079415A3A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087312"/>
        <c:axId val="418089808"/>
      </c:areaChart>
      <c:dateAx>
        <c:axId val="4180873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89808"/>
        <c:crosses val="autoZero"/>
        <c:auto val="1"/>
        <c:lblOffset val="100"/>
        <c:baseTimeUnit val="months"/>
        <c:majorUnit val="4"/>
        <c:majorTimeUnit val="months"/>
      </c:dateAx>
      <c:valAx>
        <c:axId val="41808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8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Industry Mower Sales per</a:t>
            </a:r>
            <a:r>
              <a:rPr lang="en-US" baseline="0"/>
              <a:t>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'Industry Mower Total Sales'!$F$1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5760075181796633E-3"/>
                  <c:y val="-0.220971437499183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'Industry Mower Total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'Industry Mower Total Sales'!$F$2:$F$61</c:f>
              <c:numCache>
                <c:formatCode>0</c:formatCode>
                <c:ptCount val="60"/>
                <c:pt idx="0">
                  <c:v>74662.337662337668</c:v>
                </c:pt>
                <c:pt idx="1">
                  <c:v>96585.259670211133</c:v>
                </c:pt>
                <c:pt idx="2">
                  <c:v>102369.09197616122</c:v>
                </c:pt>
                <c:pt idx="3">
                  <c:v>116171.4690652311</c:v>
                </c:pt>
                <c:pt idx="4">
                  <c:v>126210.0872953198</c:v>
                </c:pt>
                <c:pt idx="5">
                  <c:v>129767.71840811797</c:v>
                </c:pt>
                <c:pt idx="6">
                  <c:v>116409.43414729823</c:v>
                </c:pt>
                <c:pt idx="7">
                  <c:v>110140.94728800612</c:v>
                </c:pt>
                <c:pt idx="8">
                  <c:v>95064.953271028033</c:v>
                </c:pt>
                <c:pt idx="9">
                  <c:v>85499.815885954507</c:v>
                </c:pt>
                <c:pt idx="10">
                  <c:v>71971.630246375498</c:v>
                </c:pt>
                <c:pt idx="11">
                  <c:v>59349.050953399485</c:v>
                </c:pt>
                <c:pt idx="12">
                  <c:v>73401.159306189467</c:v>
                </c:pt>
                <c:pt idx="13">
                  <c:v>96544.821844821839</c:v>
                </c:pt>
                <c:pt idx="14">
                  <c:v>108790.61977405171</c:v>
                </c:pt>
                <c:pt idx="15">
                  <c:v>116584.48308448309</c:v>
                </c:pt>
                <c:pt idx="16">
                  <c:v>124625.39283146759</c:v>
                </c:pt>
                <c:pt idx="17">
                  <c:v>122584.96427461944</c:v>
                </c:pt>
                <c:pt idx="18">
                  <c:v>112594.2923346101</c:v>
                </c:pt>
                <c:pt idx="19">
                  <c:v>104164.4014920714</c:v>
                </c:pt>
                <c:pt idx="20">
                  <c:v>92240.544372553719</c:v>
                </c:pt>
                <c:pt idx="21">
                  <c:v>81470.278530525859</c:v>
                </c:pt>
                <c:pt idx="22">
                  <c:v>67385.812036297473</c:v>
                </c:pt>
                <c:pt idx="23">
                  <c:v>57489.31930495776</c:v>
                </c:pt>
                <c:pt idx="24">
                  <c:v>70892.173174271666</c:v>
                </c:pt>
                <c:pt idx="25">
                  <c:v>94916.89335037327</c:v>
                </c:pt>
                <c:pt idx="26">
                  <c:v>104582.56185890571</c:v>
                </c:pt>
                <c:pt idx="27">
                  <c:v>115211.12401600207</c:v>
                </c:pt>
                <c:pt idx="28">
                  <c:v>118949.22583022068</c:v>
                </c:pt>
                <c:pt idx="29">
                  <c:v>127801.08678327154</c:v>
                </c:pt>
                <c:pt idx="30">
                  <c:v>113215.6013997898</c:v>
                </c:pt>
                <c:pt idx="31">
                  <c:v>99325.104141141885</c:v>
                </c:pt>
                <c:pt idx="32">
                  <c:v>86863.28400281888</c:v>
                </c:pt>
                <c:pt idx="33">
                  <c:v>77192.722371967655</c:v>
                </c:pt>
                <c:pt idx="34">
                  <c:v>68558.441558441569</c:v>
                </c:pt>
                <c:pt idx="35">
                  <c:v>53981.684981684986</c:v>
                </c:pt>
                <c:pt idx="36">
                  <c:v>69134.854468334073</c:v>
                </c:pt>
                <c:pt idx="37">
                  <c:v>91182.229030502291</c:v>
                </c:pt>
                <c:pt idx="38">
                  <c:v>102486.18584480653</c:v>
                </c:pt>
                <c:pt idx="39">
                  <c:v>113027.1631472037</c:v>
                </c:pt>
                <c:pt idx="40">
                  <c:v>115831.65163450023</c:v>
                </c:pt>
                <c:pt idx="41">
                  <c:v>122481.76866738955</c:v>
                </c:pt>
                <c:pt idx="42">
                  <c:v>114686.16979051076</c:v>
                </c:pt>
                <c:pt idx="43">
                  <c:v>103729.16666666666</c:v>
                </c:pt>
                <c:pt idx="44">
                  <c:v>87381.041046011247</c:v>
                </c:pt>
                <c:pt idx="45">
                  <c:v>76770.899008059685</c:v>
                </c:pt>
                <c:pt idx="46">
                  <c:v>67105.271540054149</c:v>
                </c:pt>
                <c:pt idx="47">
                  <c:v>61796.718857466512</c:v>
                </c:pt>
                <c:pt idx="48">
                  <c:v>69673.060124711075</c:v>
                </c:pt>
                <c:pt idx="49">
                  <c:v>94164.601774916198</c:v>
                </c:pt>
                <c:pt idx="50">
                  <c:v>104544.26888042316</c:v>
                </c:pt>
                <c:pt idx="51">
                  <c:v>118249.77868763417</c:v>
                </c:pt>
                <c:pt idx="52">
                  <c:v>118583.35803558504</c:v>
                </c:pt>
                <c:pt idx="53">
                  <c:v>127362.62190960527</c:v>
                </c:pt>
                <c:pt idx="54">
                  <c:v>123919.39413260287</c:v>
                </c:pt>
                <c:pt idx="55">
                  <c:v>101960.69128134346</c:v>
                </c:pt>
                <c:pt idx="56">
                  <c:v>95688.392242820439</c:v>
                </c:pt>
                <c:pt idx="57">
                  <c:v>81765.976551231375</c:v>
                </c:pt>
                <c:pt idx="58">
                  <c:v>68647.506619594002</c:v>
                </c:pt>
                <c:pt idx="59">
                  <c:v>56509.512966296817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EC-E74B-ACE2-B85860479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5395359"/>
        <c:axId val="1525649647"/>
      </c:lineChart>
      <c:dateAx>
        <c:axId val="152539535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649647"/>
        <c:crosses val="autoZero"/>
        <c:auto val="1"/>
        <c:lblOffset val="100"/>
        <c:baseTimeUnit val="months"/>
        <c:majorUnit val="4"/>
        <c:majorTimeUnit val="months"/>
      </c:dateAx>
      <c:valAx>
        <c:axId val="152564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395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vs</a:t>
            </a:r>
            <a:r>
              <a:rPr lang="en-US" baseline="0"/>
              <a:t> Industry Mower Sales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Industry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'Mower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'Industry Mower Total Sales'!$F$2:$F$61</c:f>
              <c:numCache>
                <c:formatCode>0</c:formatCode>
                <c:ptCount val="60"/>
                <c:pt idx="0">
                  <c:v>74662.337662337668</c:v>
                </c:pt>
                <c:pt idx="1">
                  <c:v>96585.259670211133</c:v>
                </c:pt>
                <c:pt idx="2">
                  <c:v>102369.09197616122</c:v>
                </c:pt>
                <c:pt idx="3">
                  <c:v>116171.4690652311</c:v>
                </c:pt>
                <c:pt idx="4">
                  <c:v>126210.0872953198</c:v>
                </c:pt>
                <c:pt idx="5">
                  <c:v>129767.71840811797</c:v>
                </c:pt>
                <c:pt idx="6">
                  <c:v>116409.43414729823</c:v>
                </c:pt>
                <c:pt idx="7">
                  <c:v>110140.94728800612</c:v>
                </c:pt>
                <c:pt idx="8">
                  <c:v>95064.953271028033</c:v>
                </c:pt>
                <c:pt idx="9">
                  <c:v>85499.815885954507</c:v>
                </c:pt>
                <c:pt idx="10">
                  <c:v>71971.630246375498</c:v>
                </c:pt>
                <c:pt idx="11">
                  <c:v>59349.050953399485</c:v>
                </c:pt>
                <c:pt idx="12">
                  <c:v>73401.159306189467</c:v>
                </c:pt>
                <c:pt idx="13">
                  <c:v>96544.821844821839</c:v>
                </c:pt>
                <c:pt idx="14">
                  <c:v>108790.61977405171</c:v>
                </c:pt>
                <c:pt idx="15">
                  <c:v>116584.48308448309</c:v>
                </c:pt>
                <c:pt idx="16">
                  <c:v>124625.39283146759</c:v>
                </c:pt>
                <c:pt idx="17">
                  <c:v>122584.96427461944</c:v>
                </c:pt>
                <c:pt idx="18">
                  <c:v>112594.2923346101</c:v>
                </c:pt>
                <c:pt idx="19">
                  <c:v>104164.4014920714</c:v>
                </c:pt>
                <c:pt idx="20">
                  <c:v>92240.544372553719</c:v>
                </c:pt>
                <c:pt idx="21">
                  <c:v>81470.278530525859</c:v>
                </c:pt>
                <c:pt idx="22">
                  <c:v>67385.812036297473</c:v>
                </c:pt>
                <c:pt idx="23">
                  <c:v>57489.31930495776</c:v>
                </c:pt>
                <c:pt idx="24">
                  <c:v>70892.173174271666</c:v>
                </c:pt>
                <c:pt idx="25">
                  <c:v>94916.89335037327</c:v>
                </c:pt>
                <c:pt idx="26">
                  <c:v>104582.56185890571</c:v>
                </c:pt>
                <c:pt idx="27">
                  <c:v>115211.12401600207</c:v>
                </c:pt>
                <c:pt idx="28">
                  <c:v>118949.22583022068</c:v>
                </c:pt>
                <c:pt idx="29">
                  <c:v>127801.08678327154</c:v>
                </c:pt>
                <c:pt idx="30">
                  <c:v>113215.6013997898</c:v>
                </c:pt>
                <c:pt idx="31">
                  <c:v>99325.104141141885</c:v>
                </c:pt>
                <c:pt idx="32">
                  <c:v>86863.28400281888</c:v>
                </c:pt>
                <c:pt idx="33">
                  <c:v>77192.722371967655</c:v>
                </c:pt>
                <c:pt idx="34">
                  <c:v>68558.441558441569</c:v>
                </c:pt>
                <c:pt idx="35">
                  <c:v>53981.684981684986</c:v>
                </c:pt>
                <c:pt idx="36">
                  <c:v>69134.854468334073</c:v>
                </c:pt>
                <c:pt idx="37">
                  <c:v>91182.229030502291</c:v>
                </c:pt>
                <c:pt idx="38">
                  <c:v>102486.18584480653</c:v>
                </c:pt>
                <c:pt idx="39">
                  <c:v>113027.1631472037</c:v>
                </c:pt>
                <c:pt idx="40">
                  <c:v>115831.65163450023</c:v>
                </c:pt>
                <c:pt idx="41">
                  <c:v>122481.76866738955</c:v>
                </c:pt>
                <c:pt idx="42">
                  <c:v>114686.16979051076</c:v>
                </c:pt>
                <c:pt idx="43">
                  <c:v>103729.16666666666</c:v>
                </c:pt>
                <c:pt idx="44">
                  <c:v>87381.041046011247</c:v>
                </c:pt>
                <c:pt idx="45">
                  <c:v>76770.899008059685</c:v>
                </c:pt>
                <c:pt idx="46">
                  <c:v>67105.271540054149</c:v>
                </c:pt>
                <c:pt idx="47">
                  <c:v>61796.718857466512</c:v>
                </c:pt>
                <c:pt idx="48">
                  <c:v>69673.060124711075</c:v>
                </c:pt>
                <c:pt idx="49">
                  <c:v>94164.601774916198</c:v>
                </c:pt>
                <c:pt idx="50">
                  <c:v>104544.26888042316</c:v>
                </c:pt>
                <c:pt idx="51">
                  <c:v>118249.77868763417</c:v>
                </c:pt>
                <c:pt idx="52">
                  <c:v>118583.35803558504</c:v>
                </c:pt>
                <c:pt idx="53">
                  <c:v>127362.62190960527</c:v>
                </c:pt>
                <c:pt idx="54">
                  <c:v>123919.39413260287</c:v>
                </c:pt>
                <c:pt idx="55">
                  <c:v>101960.69128134346</c:v>
                </c:pt>
                <c:pt idx="56">
                  <c:v>95688.392242820439</c:v>
                </c:pt>
                <c:pt idx="57">
                  <c:v>81765.976551231375</c:v>
                </c:pt>
                <c:pt idx="58">
                  <c:v>68647.506619594002</c:v>
                </c:pt>
                <c:pt idx="59">
                  <c:v>56509.512966296817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B0-4118-8B38-1D8B80830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9633616"/>
        <c:axId val="1909630288"/>
      </c:lineChart>
      <c:lineChart>
        <c:grouping val="standard"/>
        <c:varyColors val="0"/>
        <c:ser>
          <c:idx val="1"/>
          <c:order val="1"/>
          <c:tx>
            <c:v>Company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'Mower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'Mower Unit Sales'!$G$2:$G$61</c:f>
              <c:numCache>
                <c:formatCode>General</c:formatCode>
                <c:ptCount val="60"/>
                <c:pt idx="0">
                  <c:v>7020</c:v>
                </c:pt>
                <c:pt idx="1">
                  <c:v>9280</c:v>
                </c:pt>
                <c:pt idx="2">
                  <c:v>9780</c:v>
                </c:pt>
                <c:pt idx="3">
                  <c:v>11100</c:v>
                </c:pt>
                <c:pt idx="4">
                  <c:v>11930</c:v>
                </c:pt>
                <c:pt idx="5">
                  <c:v>12240</c:v>
                </c:pt>
                <c:pt idx="6">
                  <c:v>10740</c:v>
                </c:pt>
                <c:pt idx="7">
                  <c:v>10080</c:v>
                </c:pt>
                <c:pt idx="8">
                  <c:v>8430</c:v>
                </c:pt>
                <c:pt idx="9">
                  <c:v>7650</c:v>
                </c:pt>
                <c:pt idx="10">
                  <c:v>6650</c:v>
                </c:pt>
                <c:pt idx="11">
                  <c:v>5620</c:v>
                </c:pt>
                <c:pt idx="12">
                  <c:v>7020</c:v>
                </c:pt>
                <c:pt idx="13">
                  <c:v>9030</c:v>
                </c:pt>
                <c:pt idx="14">
                  <c:v>10050</c:v>
                </c:pt>
                <c:pt idx="15">
                  <c:v>10890</c:v>
                </c:pt>
                <c:pt idx="16">
                  <c:v>11420</c:v>
                </c:pt>
                <c:pt idx="17">
                  <c:v>12270</c:v>
                </c:pt>
                <c:pt idx="18">
                  <c:v>10720</c:v>
                </c:pt>
                <c:pt idx="19">
                  <c:v>9650</c:v>
                </c:pt>
                <c:pt idx="20">
                  <c:v>8310</c:v>
                </c:pt>
                <c:pt idx="21">
                  <c:v>7510</c:v>
                </c:pt>
                <c:pt idx="22">
                  <c:v>6250</c:v>
                </c:pt>
                <c:pt idx="23">
                  <c:v>5370</c:v>
                </c:pt>
                <c:pt idx="24">
                  <c:v>6970</c:v>
                </c:pt>
                <c:pt idx="25">
                  <c:v>9160</c:v>
                </c:pt>
                <c:pt idx="26">
                  <c:v>9970</c:v>
                </c:pt>
                <c:pt idx="27">
                  <c:v>11020</c:v>
                </c:pt>
                <c:pt idx="28">
                  <c:v>11780</c:v>
                </c:pt>
                <c:pt idx="29">
                  <c:v>12280</c:v>
                </c:pt>
                <c:pt idx="30">
                  <c:v>10960</c:v>
                </c:pt>
                <c:pt idx="31">
                  <c:v>9500</c:v>
                </c:pt>
                <c:pt idx="32">
                  <c:v>8230</c:v>
                </c:pt>
                <c:pt idx="33">
                  <c:v>7420</c:v>
                </c:pt>
                <c:pt idx="34">
                  <c:v>6630</c:v>
                </c:pt>
                <c:pt idx="35">
                  <c:v>5350</c:v>
                </c:pt>
                <c:pt idx="36">
                  <c:v>7030</c:v>
                </c:pt>
                <c:pt idx="37">
                  <c:v>9220</c:v>
                </c:pt>
                <c:pt idx="38">
                  <c:v>10050</c:v>
                </c:pt>
                <c:pt idx="39">
                  <c:v>11050</c:v>
                </c:pt>
                <c:pt idx="40">
                  <c:v>11640</c:v>
                </c:pt>
                <c:pt idx="41">
                  <c:v>12040</c:v>
                </c:pt>
                <c:pt idx="42">
                  <c:v>11010</c:v>
                </c:pt>
                <c:pt idx="43">
                  <c:v>9830</c:v>
                </c:pt>
                <c:pt idx="44">
                  <c:v>8370</c:v>
                </c:pt>
                <c:pt idx="45">
                  <c:v>7490</c:v>
                </c:pt>
                <c:pt idx="46">
                  <c:v>6530</c:v>
                </c:pt>
                <c:pt idx="47">
                  <c:v>6300</c:v>
                </c:pt>
                <c:pt idx="48">
                  <c:v>7080</c:v>
                </c:pt>
                <c:pt idx="49">
                  <c:v>9250</c:v>
                </c:pt>
                <c:pt idx="50">
                  <c:v>10020</c:v>
                </c:pt>
                <c:pt idx="51">
                  <c:v>10995</c:v>
                </c:pt>
                <c:pt idx="52">
                  <c:v>11436</c:v>
                </c:pt>
                <c:pt idx="53">
                  <c:v>12082</c:v>
                </c:pt>
                <c:pt idx="54">
                  <c:v>11486</c:v>
                </c:pt>
                <c:pt idx="55">
                  <c:v>9504</c:v>
                </c:pt>
                <c:pt idx="56">
                  <c:v>8635</c:v>
                </c:pt>
                <c:pt idx="57">
                  <c:v>7451</c:v>
                </c:pt>
                <c:pt idx="58">
                  <c:v>6453</c:v>
                </c:pt>
                <c:pt idx="59">
                  <c:v>5651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B0-4118-8B38-1D8B80830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9319440"/>
        <c:axId val="1259314448"/>
      </c:lineChart>
      <c:dateAx>
        <c:axId val="190963361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630288"/>
        <c:crosses val="autoZero"/>
        <c:auto val="1"/>
        <c:lblOffset val="100"/>
        <c:baseTimeUnit val="months"/>
        <c:majorUnit val="4"/>
        <c:majorTimeUnit val="months"/>
      </c:dateAx>
      <c:valAx>
        <c:axId val="190963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633616"/>
        <c:crosses val="autoZero"/>
        <c:crossBetween val="between"/>
      </c:valAx>
      <c:valAx>
        <c:axId val="12593144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319440"/>
        <c:crosses val="max"/>
        <c:crossBetween val="between"/>
      </c:valAx>
      <c:dateAx>
        <c:axId val="125931944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259314448"/>
        <c:auto val="1"/>
        <c:lblOffset val="100"/>
        <c:baseTimeUnit val="month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Tractor Sales by Region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'Tractor Unit Sales'!$B$1</c:f>
              <c:strCache>
                <c:ptCount val="1"/>
                <c:pt idx="0">
                  <c:v>NA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'Tractor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'Tractor Unit Sales'!$B$2:$B$61</c:f>
              <c:numCache>
                <c:formatCode>General</c:formatCode>
                <c:ptCount val="60"/>
                <c:pt idx="0">
                  <c:v>570</c:v>
                </c:pt>
                <c:pt idx="1">
                  <c:v>611</c:v>
                </c:pt>
                <c:pt idx="2">
                  <c:v>630</c:v>
                </c:pt>
                <c:pt idx="3">
                  <c:v>684</c:v>
                </c:pt>
                <c:pt idx="4">
                  <c:v>650</c:v>
                </c:pt>
                <c:pt idx="5">
                  <c:v>600</c:v>
                </c:pt>
                <c:pt idx="6">
                  <c:v>512</c:v>
                </c:pt>
                <c:pt idx="7">
                  <c:v>500</c:v>
                </c:pt>
                <c:pt idx="8">
                  <c:v>478</c:v>
                </c:pt>
                <c:pt idx="9">
                  <c:v>455</c:v>
                </c:pt>
                <c:pt idx="10">
                  <c:v>407</c:v>
                </c:pt>
                <c:pt idx="11">
                  <c:v>360</c:v>
                </c:pt>
                <c:pt idx="12">
                  <c:v>571</c:v>
                </c:pt>
                <c:pt idx="13">
                  <c:v>650</c:v>
                </c:pt>
                <c:pt idx="14">
                  <c:v>740</c:v>
                </c:pt>
                <c:pt idx="15">
                  <c:v>840</c:v>
                </c:pt>
                <c:pt idx="16">
                  <c:v>830</c:v>
                </c:pt>
                <c:pt idx="17">
                  <c:v>760</c:v>
                </c:pt>
                <c:pt idx="18">
                  <c:v>681</c:v>
                </c:pt>
                <c:pt idx="19">
                  <c:v>670</c:v>
                </c:pt>
                <c:pt idx="20">
                  <c:v>640</c:v>
                </c:pt>
                <c:pt idx="21">
                  <c:v>620</c:v>
                </c:pt>
                <c:pt idx="22">
                  <c:v>570</c:v>
                </c:pt>
                <c:pt idx="23">
                  <c:v>533</c:v>
                </c:pt>
                <c:pt idx="24">
                  <c:v>620</c:v>
                </c:pt>
                <c:pt idx="25">
                  <c:v>792</c:v>
                </c:pt>
                <c:pt idx="26">
                  <c:v>890</c:v>
                </c:pt>
                <c:pt idx="27">
                  <c:v>960</c:v>
                </c:pt>
                <c:pt idx="28">
                  <c:v>1040</c:v>
                </c:pt>
                <c:pt idx="29">
                  <c:v>1032</c:v>
                </c:pt>
                <c:pt idx="30">
                  <c:v>1006</c:v>
                </c:pt>
                <c:pt idx="31">
                  <c:v>910</c:v>
                </c:pt>
                <c:pt idx="32">
                  <c:v>803</c:v>
                </c:pt>
                <c:pt idx="33">
                  <c:v>730</c:v>
                </c:pt>
                <c:pt idx="34">
                  <c:v>699</c:v>
                </c:pt>
                <c:pt idx="35">
                  <c:v>647</c:v>
                </c:pt>
                <c:pt idx="36">
                  <c:v>730</c:v>
                </c:pt>
                <c:pt idx="37">
                  <c:v>930</c:v>
                </c:pt>
                <c:pt idx="38">
                  <c:v>1160</c:v>
                </c:pt>
                <c:pt idx="39">
                  <c:v>1510</c:v>
                </c:pt>
                <c:pt idx="40">
                  <c:v>1650</c:v>
                </c:pt>
                <c:pt idx="41">
                  <c:v>1490</c:v>
                </c:pt>
                <c:pt idx="42">
                  <c:v>1460</c:v>
                </c:pt>
                <c:pt idx="43">
                  <c:v>1390</c:v>
                </c:pt>
                <c:pt idx="44">
                  <c:v>1360</c:v>
                </c:pt>
                <c:pt idx="45">
                  <c:v>1340</c:v>
                </c:pt>
                <c:pt idx="46">
                  <c:v>1240</c:v>
                </c:pt>
                <c:pt idx="47">
                  <c:v>1103</c:v>
                </c:pt>
                <c:pt idx="48">
                  <c:v>1250</c:v>
                </c:pt>
                <c:pt idx="49">
                  <c:v>1550</c:v>
                </c:pt>
                <c:pt idx="50">
                  <c:v>1820</c:v>
                </c:pt>
                <c:pt idx="51">
                  <c:v>2010</c:v>
                </c:pt>
                <c:pt idx="52">
                  <c:v>2230</c:v>
                </c:pt>
                <c:pt idx="53">
                  <c:v>2490</c:v>
                </c:pt>
                <c:pt idx="54">
                  <c:v>2440</c:v>
                </c:pt>
                <c:pt idx="55">
                  <c:v>2334</c:v>
                </c:pt>
                <c:pt idx="56">
                  <c:v>2190</c:v>
                </c:pt>
                <c:pt idx="57">
                  <c:v>2080</c:v>
                </c:pt>
                <c:pt idx="58">
                  <c:v>2050</c:v>
                </c:pt>
                <c:pt idx="59">
                  <c:v>2004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8A-47AE-BB5C-0096FE03ABE0}"/>
            </c:ext>
          </c:extLst>
        </c:ser>
        <c:ser>
          <c:idx val="1"/>
          <c:order val="1"/>
          <c:tx>
            <c:strRef>
              <c:f>'Tractor Unit Sales'!$C$1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'Tractor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'Tractor Unit Sales'!$C$2:$C$61</c:f>
              <c:numCache>
                <c:formatCode>General</c:formatCode>
                <c:ptCount val="60"/>
                <c:pt idx="0">
                  <c:v>250</c:v>
                </c:pt>
                <c:pt idx="1">
                  <c:v>270</c:v>
                </c:pt>
                <c:pt idx="2">
                  <c:v>260</c:v>
                </c:pt>
                <c:pt idx="3">
                  <c:v>270</c:v>
                </c:pt>
                <c:pt idx="4">
                  <c:v>280</c:v>
                </c:pt>
                <c:pt idx="5">
                  <c:v>270</c:v>
                </c:pt>
                <c:pt idx="6">
                  <c:v>264</c:v>
                </c:pt>
                <c:pt idx="7">
                  <c:v>280</c:v>
                </c:pt>
                <c:pt idx="8">
                  <c:v>290</c:v>
                </c:pt>
                <c:pt idx="9">
                  <c:v>280</c:v>
                </c:pt>
                <c:pt idx="10">
                  <c:v>290</c:v>
                </c:pt>
                <c:pt idx="11">
                  <c:v>280</c:v>
                </c:pt>
                <c:pt idx="12">
                  <c:v>320</c:v>
                </c:pt>
                <c:pt idx="13">
                  <c:v>350</c:v>
                </c:pt>
                <c:pt idx="14">
                  <c:v>390</c:v>
                </c:pt>
                <c:pt idx="15">
                  <c:v>440</c:v>
                </c:pt>
                <c:pt idx="16">
                  <c:v>470</c:v>
                </c:pt>
                <c:pt idx="17">
                  <c:v>490</c:v>
                </c:pt>
                <c:pt idx="18">
                  <c:v>481</c:v>
                </c:pt>
                <c:pt idx="19">
                  <c:v>460</c:v>
                </c:pt>
                <c:pt idx="20">
                  <c:v>460</c:v>
                </c:pt>
                <c:pt idx="21">
                  <c:v>440</c:v>
                </c:pt>
                <c:pt idx="22">
                  <c:v>436</c:v>
                </c:pt>
                <c:pt idx="23">
                  <c:v>420</c:v>
                </c:pt>
                <c:pt idx="24">
                  <c:v>510</c:v>
                </c:pt>
                <c:pt idx="25">
                  <c:v>590</c:v>
                </c:pt>
                <c:pt idx="26">
                  <c:v>610</c:v>
                </c:pt>
                <c:pt idx="27">
                  <c:v>600</c:v>
                </c:pt>
                <c:pt idx="28">
                  <c:v>620</c:v>
                </c:pt>
                <c:pt idx="29">
                  <c:v>640</c:v>
                </c:pt>
                <c:pt idx="30">
                  <c:v>590</c:v>
                </c:pt>
                <c:pt idx="31">
                  <c:v>600</c:v>
                </c:pt>
                <c:pt idx="32">
                  <c:v>670</c:v>
                </c:pt>
                <c:pt idx="33">
                  <c:v>630</c:v>
                </c:pt>
                <c:pt idx="34">
                  <c:v>710</c:v>
                </c:pt>
                <c:pt idx="35">
                  <c:v>570</c:v>
                </c:pt>
                <c:pt idx="36">
                  <c:v>650</c:v>
                </c:pt>
                <c:pt idx="37">
                  <c:v>680</c:v>
                </c:pt>
                <c:pt idx="38">
                  <c:v>724</c:v>
                </c:pt>
                <c:pt idx="39">
                  <c:v>730</c:v>
                </c:pt>
                <c:pt idx="40">
                  <c:v>760</c:v>
                </c:pt>
                <c:pt idx="41">
                  <c:v>800</c:v>
                </c:pt>
                <c:pt idx="42">
                  <c:v>840</c:v>
                </c:pt>
                <c:pt idx="43">
                  <c:v>830</c:v>
                </c:pt>
                <c:pt idx="44">
                  <c:v>820</c:v>
                </c:pt>
                <c:pt idx="45">
                  <c:v>810</c:v>
                </c:pt>
                <c:pt idx="46">
                  <c:v>827</c:v>
                </c:pt>
                <c:pt idx="47">
                  <c:v>750</c:v>
                </c:pt>
                <c:pt idx="48">
                  <c:v>780</c:v>
                </c:pt>
                <c:pt idx="49">
                  <c:v>805</c:v>
                </c:pt>
                <c:pt idx="50">
                  <c:v>830</c:v>
                </c:pt>
                <c:pt idx="51">
                  <c:v>890</c:v>
                </c:pt>
                <c:pt idx="52">
                  <c:v>930</c:v>
                </c:pt>
                <c:pt idx="53">
                  <c:v>980</c:v>
                </c:pt>
                <c:pt idx="54">
                  <c:v>1002</c:v>
                </c:pt>
                <c:pt idx="55">
                  <c:v>970</c:v>
                </c:pt>
                <c:pt idx="56">
                  <c:v>960</c:v>
                </c:pt>
                <c:pt idx="57">
                  <c:v>930</c:v>
                </c:pt>
                <c:pt idx="58">
                  <c:v>920</c:v>
                </c:pt>
                <c:pt idx="59">
                  <c:v>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8A-47AE-BB5C-0096FE03ABE0}"/>
            </c:ext>
          </c:extLst>
        </c:ser>
        <c:ser>
          <c:idx val="2"/>
          <c:order val="2"/>
          <c:tx>
            <c:strRef>
              <c:f>'Tractor Unit Sales'!$D$1</c:f>
              <c:strCache>
                <c:ptCount val="1"/>
                <c:pt idx="0">
                  <c:v>Eur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'Tractor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'Tractor Unit Sales'!$D$2:$D$61</c:f>
              <c:numCache>
                <c:formatCode>General</c:formatCode>
                <c:ptCount val="60"/>
                <c:pt idx="0">
                  <c:v>560</c:v>
                </c:pt>
                <c:pt idx="1">
                  <c:v>600</c:v>
                </c:pt>
                <c:pt idx="2">
                  <c:v>680</c:v>
                </c:pt>
                <c:pt idx="3">
                  <c:v>650</c:v>
                </c:pt>
                <c:pt idx="4">
                  <c:v>580</c:v>
                </c:pt>
                <c:pt idx="5">
                  <c:v>590</c:v>
                </c:pt>
                <c:pt idx="6">
                  <c:v>760</c:v>
                </c:pt>
                <c:pt idx="7">
                  <c:v>645</c:v>
                </c:pt>
                <c:pt idx="8">
                  <c:v>650</c:v>
                </c:pt>
                <c:pt idx="9">
                  <c:v>670</c:v>
                </c:pt>
                <c:pt idx="10">
                  <c:v>888</c:v>
                </c:pt>
                <c:pt idx="11">
                  <c:v>850</c:v>
                </c:pt>
                <c:pt idx="12">
                  <c:v>620</c:v>
                </c:pt>
                <c:pt idx="13">
                  <c:v>760</c:v>
                </c:pt>
                <c:pt idx="14">
                  <c:v>742</c:v>
                </c:pt>
                <c:pt idx="15">
                  <c:v>780</c:v>
                </c:pt>
                <c:pt idx="16">
                  <c:v>690</c:v>
                </c:pt>
                <c:pt idx="17">
                  <c:v>721</c:v>
                </c:pt>
                <c:pt idx="18">
                  <c:v>680</c:v>
                </c:pt>
                <c:pt idx="19">
                  <c:v>711</c:v>
                </c:pt>
                <c:pt idx="20">
                  <c:v>695</c:v>
                </c:pt>
                <c:pt idx="21">
                  <c:v>650</c:v>
                </c:pt>
                <c:pt idx="22">
                  <c:v>680</c:v>
                </c:pt>
                <c:pt idx="23">
                  <c:v>657</c:v>
                </c:pt>
                <c:pt idx="24">
                  <c:v>610</c:v>
                </c:pt>
                <c:pt idx="25">
                  <c:v>680</c:v>
                </c:pt>
                <c:pt idx="26">
                  <c:v>730</c:v>
                </c:pt>
                <c:pt idx="27">
                  <c:v>820</c:v>
                </c:pt>
                <c:pt idx="28">
                  <c:v>810</c:v>
                </c:pt>
                <c:pt idx="29">
                  <c:v>807</c:v>
                </c:pt>
                <c:pt idx="30">
                  <c:v>760</c:v>
                </c:pt>
                <c:pt idx="31">
                  <c:v>720</c:v>
                </c:pt>
                <c:pt idx="32">
                  <c:v>660</c:v>
                </c:pt>
                <c:pt idx="33">
                  <c:v>630</c:v>
                </c:pt>
                <c:pt idx="34">
                  <c:v>603</c:v>
                </c:pt>
                <c:pt idx="35">
                  <c:v>570</c:v>
                </c:pt>
                <c:pt idx="36">
                  <c:v>500</c:v>
                </c:pt>
                <c:pt idx="37">
                  <c:v>590</c:v>
                </c:pt>
                <c:pt idx="38">
                  <c:v>620</c:v>
                </c:pt>
                <c:pt idx="39">
                  <c:v>730</c:v>
                </c:pt>
                <c:pt idx="40">
                  <c:v>740</c:v>
                </c:pt>
                <c:pt idx="41">
                  <c:v>720</c:v>
                </c:pt>
                <c:pt idx="42">
                  <c:v>670</c:v>
                </c:pt>
                <c:pt idx="43">
                  <c:v>610</c:v>
                </c:pt>
                <c:pt idx="44">
                  <c:v>599</c:v>
                </c:pt>
                <c:pt idx="45">
                  <c:v>560</c:v>
                </c:pt>
                <c:pt idx="46">
                  <c:v>550</c:v>
                </c:pt>
                <c:pt idx="47">
                  <c:v>520</c:v>
                </c:pt>
                <c:pt idx="48">
                  <c:v>480</c:v>
                </c:pt>
                <c:pt idx="49">
                  <c:v>523</c:v>
                </c:pt>
                <c:pt idx="50">
                  <c:v>560</c:v>
                </c:pt>
                <c:pt idx="51">
                  <c:v>570</c:v>
                </c:pt>
                <c:pt idx="52">
                  <c:v>590</c:v>
                </c:pt>
                <c:pt idx="53">
                  <c:v>600</c:v>
                </c:pt>
                <c:pt idx="54">
                  <c:v>580</c:v>
                </c:pt>
                <c:pt idx="55">
                  <c:v>570</c:v>
                </c:pt>
                <c:pt idx="56">
                  <c:v>550</c:v>
                </c:pt>
                <c:pt idx="57">
                  <c:v>530</c:v>
                </c:pt>
                <c:pt idx="58">
                  <c:v>517</c:v>
                </c:pt>
                <c:pt idx="59">
                  <c:v>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8A-47AE-BB5C-0096FE03ABE0}"/>
            </c:ext>
          </c:extLst>
        </c:ser>
        <c:ser>
          <c:idx val="3"/>
          <c:order val="3"/>
          <c:tx>
            <c:strRef>
              <c:f>'Tractor Unit Sales'!$E$1</c:f>
              <c:strCache>
                <c:ptCount val="1"/>
                <c:pt idx="0">
                  <c:v>Pac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'Tractor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'Tractor Unit Sales'!$E$2:$E$61</c:f>
              <c:numCache>
                <c:formatCode>General</c:formatCode>
                <c:ptCount val="60"/>
                <c:pt idx="0">
                  <c:v>212</c:v>
                </c:pt>
                <c:pt idx="1">
                  <c:v>230</c:v>
                </c:pt>
                <c:pt idx="2">
                  <c:v>240</c:v>
                </c:pt>
                <c:pt idx="3">
                  <c:v>263</c:v>
                </c:pt>
                <c:pt idx="4">
                  <c:v>269</c:v>
                </c:pt>
                <c:pt idx="5">
                  <c:v>280</c:v>
                </c:pt>
                <c:pt idx="6">
                  <c:v>290</c:v>
                </c:pt>
                <c:pt idx="7">
                  <c:v>270</c:v>
                </c:pt>
                <c:pt idx="8">
                  <c:v>263</c:v>
                </c:pt>
                <c:pt idx="9">
                  <c:v>258</c:v>
                </c:pt>
                <c:pt idx="10">
                  <c:v>240</c:v>
                </c:pt>
                <c:pt idx="11">
                  <c:v>230</c:v>
                </c:pt>
                <c:pt idx="12">
                  <c:v>250</c:v>
                </c:pt>
                <c:pt idx="13">
                  <c:v>275</c:v>
                </c:pt>
                <c:pt idx="14">
                  <c:v>270</c:v>
                </c:pt>
                <c:pt idx="15">
                  <c:v>280</c:v>
                </c:pt>
                <c:pt idx="16">
                  <c:v>290</c:v>
                </c:pt>
                <c:pt idx="17">
                  <c:v>300</c:v>
                </c:pt>
                <c:pt idx="18">
                  <c:v>312</c:v>
                </c:pt>
                <c:pt idx="19">
                  <c:v>305</c:v>
                </c:pt>
                <c:pt idx="20">
                  <c:v>290</c:v>
                </c:pt>
                <c:pt idx="21">
                  <c:v>260</c:v>
                </c:pt>
                <c:pt idx="22">
                  <c:v>250</c:v>
                </c:pt>
                <c:pt idx="23">
                  <c:v>240</c:v>
                </c:pt>
                <c:pt idx="24">
                  <c:v>250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290</c:v>
                </c:pt>
                <c:pt idx="29">
                  <c:v>310</c:v>
                </c:pt>
                <c:pt idx="30">
                  <c:v>340</c:v>
                </c:pt>
                <c:pt idx="31">
                  <c:v>320</c:v>
                </c:pt>
                <c:pt idx="32">
                  <c:v>313</c:v>
                </c:pt>
                <c:pt idx="33">
                  <c:v>290</c:v>
                </c:pt>
                <c:pt idx="34">
                  <c:v>280</c:v>
                </c:pt>
                <c:pt idx="35">
                  <c:v>260</c:v>
                </c:pt>
                <c:pt idx="36">
                  <c:v>287</c:v>
                </c:pt>
                <c:pt idx="37">
                  <c:v>290</c:v>
                </c:pt>
                <c:pt idx="38">
                  <c:v>300</c:v>
                </c:pt>
                <c:pt idx="39">
                  <c:v>310</c:v>
                </c:pt>
                <c:pt idx="40">
                  <c:v>330</c:v>
                </c:pt>
                <c:pt idx="41">
                  <c:v>340</c:v>
                </c:pt>
                <c:pt idx="42">
                  <c:v>350</c:v>
                </c:pt>
                <c:pt idx="43">
                  <c:v>341</c:v>
                </c:pt>
                <c:pt idx="44">
                  <c:v>330</c:v>
                </c:pt>
                <c:pt idx="45">
                  <c:v>320</c:v>
                </c:pt>
                <c:pt idx="46">
                  <c:v>300</c:v>
                </c:pt>
                <c:pt idx="47">
                  <c:v>290</c:v>
                </c:pt>
                <c:pt idx="48">
                  <c:v>200</c:v>
                </c:pt>
                <c:pt idx="49">
                  <c:v>210</c:v>
                </c:pt>
                <c:pt idx="50">
                  <c:v>220</c:v>
                </c:pt>
                <c:pt idx="51">
                  <c:v>230</c:v>
                </c:pt>
                <c:pt idx="52">
                  <c:v>253</c:v>
                </c:pt>
                <c:pt idx="53">
                  <c:v>270</c:v>
                </c:pt>
                <c:pt idx="54">
                  <c:v>280</c:v>
                </c:pt>
                <c:pt idx="55">
                  <c:v>250</c:v>
                </c:pt>
                <c:pt idx="56">
                  <c:v>230</c:v>
                </c:pt>
                <c:pt idx="57">
                  <c:v>220</c:v>
                </c:pt>
                <c:pt idx="58">
                  <c:v>190</c:v>
                </c:pt>
                <c:pt idx="59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8A-47AE-BB5C-0096FE03ABE0}"/>
            </c:ext>
          </c:extLst>
        </c:ser>
        <c:ser>
          <c:idx val="4"/>
          <c:order val="4"/>
          <c:tx>
            <c:strRef>
              <c:f>'Tractor Unit Sales'!$F$1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'Tractor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'Tractor Unit Sales'!$F$2:$F$61</c:f>
              <c:numCache>
                <c:formatCode>General</c:formatCode>
                <c:ptCount val="60"/>
                <c:pt idx="24">
                  <c:v>10</c:v>
                </c:pt>
                <c:pt idx="25">
                  <c:v>12</c:v>
                </c:pt>
                <c:pt idx="26">
                  <c:v>20</c:v>
                </c:pt>
                <c:pt idx="27">
                  <c:v>22</c:v>
                </c:pt>
                <c:pt idx="28">
                  <c:v>20</c:v>
                </c:pt>
                <c:pt idx="29">
                  <c:v>24</c:v>
                </c:pt>
                <c:pt idx="30">
                  <c:v>20</c:v>
                </c:pt>
                <c:pt idx="31">
                  <c:v>31</c:v>
                </c:pt>
                <c:pt idx="32">
                  <c:v>30</c:v>
                </c:pt>
                <c:pt idx="33">
                  <c:v>37</c:v>
                </c:pt>
                <c:pt idx="34">
                  <c:v>32</c:v>
                </c:pt>
                <c:pt idx="35">
                  <c:v>33</c:v>
                </c:pt>
                <c:pt idx="36">
                  <c:v>35</c:v>
                </c:pt>
                <c:pt idx="37">
                  <c:v>50</c:v>
                </c:pt>
                <c:pt idx="38">
                  <c:v>63</c:v>
                </c:pt>
                <c:pt idx="39">
                  <c:v>68</c:v>
                </c:pt>
                <c:pt idx="40">
                  <c:v>70</c:v>
                </c:pt>
                <c:pt idx="41">
                  <c:v>82</c:v>
                </c:pt>
                <c:pt idx="42">
                  <c:v>80</c:v>
                </c:pt>
                <c:pt idx="43">
                  <c:v>90</c:v>
                </c:pt>
                <c:pt idx="44">
                  <c:v>100</c:v>
                </c:pt>
                <c:pt idx="45">
                  <c:v>102</c:v>
                </c:pt>
                <c:pt idx="46">
                  <c:v>110</c:v>
                </c:pt>
                <c:pt idx="47">
                  <c:v>114</c:v>
                </c:pt>
                <c:pt idx="48">
                  <c:v>111</c:v>
                </c:pt>
                <c:pt idx="49">
                  <c:v>121</c:v>
                </c:pt>
                <c:pt idx="50">
                  <c:v>123</c:v>
                </c:pt>
                <c:pt idx="51">
                  <c:v>120</c:v>
                </c:pt>
                <c:pt idx="52">
                  <c:v>130</c:v>
                </c:pt>
                <c:pt idx="53">
                  <c:v>136</c:v>
                </c:pt>
                <c:pt idx="54">
                  <c:v>134</c:v>
                </c:pt>
                <c:pt idx="55">
                  <c:v>132</c:v>
                </c:pt>
                <c:pt idx="56">
                  <c:v>137</c:v>
                </c:pt>
                <c:pt idx="57">
                  <c:v>130</c:v>
                </c:pt>
                <c:pt idx="58">
                  <c:v>139</c:v>
                </c:pt>
                <c:pt idx="59">
                  <c:v>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8A-47AE-BB5C-0096FE03A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052016"/>
        <c:axId val="1588053264"/>
      </c:lineChart>
      <c:dateAx>
        <c:axId val="158805201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053264"/>
        <c:crosses val="autoZero"/>
        <c:auto val="1"/>
        <c:lblOffset val="100"/>
        <c:baseTimeUnit val="months"/>
        <c:majorUnit val="4"/>
        <c:majorTimeUnit val="months"/>
      </c:dateAx>
      <c:valAx>
        <c:axId val="158805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05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Tractor Sales</a:t>
            </a:r>
            <a:r>
              <a:rPr lang="en-US" baseline="0"/>
              <a:t> Ratio by Region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'Tractor Unit Sales'!$B$1</c:f>
              <c:strCache>
                <c:ptCount val="1"/>
                <c:pt idx="0">
                  <c:v>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'Tractor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'Tractor Unit Sales'!$B$2:$B$61</c:f>
              <c:numCache>
                <c:formatCode>General</c:formatCode>
                <c:ptCount val="60"/>
                <c:pt idx="0">
                  <c:v>570</c:v>
                </c:pt>
                <c:pt idx="1">
                  <c:v>611</c:v>
                </c:pt>
                <c:pt idx="2">
                  <c:v>630</c:v>
                </c:pt>
                <c:pt idx="3">
                  <c:v>684</c:v>
                </c:pt>
                <c:pt idx="4">
                  <c:v>650</c:v>
                </c:pt>
                <c:pt idx="5">
                  <c:v>600</c:v>
                </c:pt>
                <c:pt idx="6">
                  <c:v>512</c:v>
                </c:pt>
                <c:pt idx="7">
                  <c:v>500</c:v>
                </c:pt>
                <c:pt idx="8">
                  <c:v>478</c:v>
                </c:pt>
                <c:pt idx="9">
                  <c:v>455</c:v>
                </c:pt>
                <c:pt idx="10">
                  <c:v>407</c:v>
                </c:pt>
                <c:pt idx="11">
                  <c:v>360</c:v>
                </c:pt>
                <c:pt idx="12">
                  <c:v>571</c:v>
                </c:pt>
                <c:pt idx="13">
                  <c:v>650</c:v>
                </c:pt>
                <c:pt idx="14">
                  <c:v>740</c:v>
                </c:pt>
                <c:pt idx="15">
                  <c:v>840</c:v>
                </c:pt>
                <c:pt idx="16">
                  <c:v>830</c:v>
                </c:pt>
                <c:pt idx="17">
                  <c:v>760</c:v>
                </c:pt>
                <c:pt idx="18">
                  <c:v>681</c:v>
                </c:pt>
                <c:pt idx="19">
                  <c:v>670</c:v>
                </c:pt>
                <c:pt idx="20">
                  <c:v>640</c:v>
                </c:pt>
                <c:pt idx="21">
                  <c:v>620</c:v>
                </c:pt>
                <c:pt idx="22">
                  <c:v>570</c:v>
                </c:pt>
                <c:pt idx="23">
                  <c:v>533</c:v>
                </c:pt>
                <c:pt idx="24">
                  <c:v>620</c:v>
                </c:pt>
                <c:pt idx="25">
                  <c:v>792</c:v>
                </c:pt>
                <c:pt idx="26">
                  <c:v>890</c:v>
                </c:pt>
                <c:pt idx="27">
                  <c:v>960</c:v>
                </c:pt>
                <c:pt idx="28">
                  <c:v>1040</c:v>
                </c:pt>
                <c:pt idx="29">
                  <c:v>1032</c:v>
                </c:pt>
                <c:pt idx="30">
                  <c:v>1006</c:v>
                </c:pt>
                <c:pt idx="31">
                  <c:v>910</c:v>
                </c:pt>
                <c:pt idx="32">
                  <c:v>803</c:v>
                </c:pt>
                <c:pt idx="33">
                  <c:v>730</c:v>
                </c:pt>
                <c:pt idx="34">
                  <c:v>699</c:v>
                </c:pt>
                <c:pt idx="35">
                  <c:v>647</c:v>
                </c:pt>
                <c:pt idx="36">
                  <c:v>730</c:v>
                </c:pt>
                <c:pt idx="37">
                  <c:v>930</c:v>
                </c:pt>
                <c:pt idx="38">
                  <c:v>1160</c:v>
                </c:pt>
                <c:pt idx="39">
                  <c:v>1510</c:v>
                </c:pt>
                <c:pt idx="40">
                  <c:v>1650</c:v>
                </c:pt>
                <c:pt idx="41">
                  <c:v>1490</c:v>
                </c:pt>
                <c:pt idx="42">
                  <c:v>1460</c:v>
                </c:pt>
                <c:pt idx="43">
                  <c:v>1390</c:v>
                </c:pt>
                <c:pt idx="44">
                  <c:v>1360</c:v>
                </c:pt>
                <c:pt idx="45">
                  <c:v>1340</c:v>
                </c:pt>
                <c:pt idx="46">
                  <c:v>1240</c:v>
                </c:pt>
                <c:pt idx="47">
                  <c:v>1103</c:v>
                </c:pt>
                <c:pt idx="48">
                  <c:v>1250</c:v>
                </c:pt>
                <c:pt idx="49">
                  <c:v>1550</c:v>
                </c:pt>
                <c:pt idx="50">
                  <c:v>1820</c:v>
                </c:pt>
                <c:pt idx="51">
                  <c:v>2010</c:v>
                </c:pt>
                <c:pt idx="52">
                  <c:v>2230</c:v>
                </c:pt>
                <c:pt idx="53">
                  <c:v>2490</c:v>
                </c:pt>
                <c:pt idx="54">
                  <c:v>2440</c:v>
                </c:pt>
                <c:pt idx="55">
                  <c:v>2334</c:v>
                </c:pt>
                <c:pt idx="56">
                  <c:v>2190</c:v>
                </c:pt>
                <c:pt idx="57">
                  <c:v>2080</c:v>
                </c:pt>
                <c:pt idx="58">
                  <c:v>2050</c:v>
                </c:pt>
                <c:pt idx="59">
                  <c:v>2004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69-4756-BC90-4DBEE8EF9A1B}"/>
            </c:ext>
          </c:extLst>
        </c:ser>
        <c:ser>
          <c:idx val="1"/>
          <c:order val="1"/>
          <c:tx>
            <c:strRef>
              <c:f>'Tractor Unit Sales'!$C$1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'Tractor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'Tractor Unit Sales'!$C$2:$C$61</c:f>
              <c:numCache>
                <c:formatCode>General</c:formatCode>
                <c:ptCount val="60"/>
                <c:pt idx="0">
                  <c:v>250</c:v>
                </c:pt>
                <c:pt idx="1">
                  <c:v>270</c:v>
                </c:pt>
                <c:pt idx="2">
                  <c:v>260</c:v>
                </c:pt>
                <c:pt idx="3">
                  <c:v>270</c:v>
                </c:pt>
                <c:pt idx="4">
                  <c:v>280</c:v>
                </c:pt>
                <c:pt idx="5">
                  <c:v>270</c:v>
                </c:pt>
                <c:pt idx="6">
                  <c:v>264</c:v>
                </c:pt>
                <c:pt idx="7">
                  <c:v>280</c:v>
                </c:pt>
                <c:pt idx="8">
                  <c:v>290</c:v>
                </c:pt>
                <c:pt idx="9">
                  <c:v>280</c:v>
                </c:pt>
                <c:pt idx="10">
                  <c:v>290</c:v>
                </c:pt>
                <c:pt idx="11">
                  <c:v>280</c:v>
                </c:pt>
                <c:pt idx="12">
                  <c:v>320</c:v>
                </c:pt>
                <c:pt idx="13">
                  <c:v>350</c:v>
                </c:pt>
                <c:pt idx="14">
                  <c:v>390</c:v>
                </c:pt>
                <c:pt idx="15">
                  <c:v>440</c:v>
                </c:pt>
                <c:pt idx="16">
                  <c:v>470</c:v>
                </c:pt>
                <c:pt idx="17">
                  <c:v>490</c:v>
                </c:pt>
                <c:pt idx="18">
                  <c:v>481</c:v>
                </c:pt>
                <c:pt idx="19">
                  <c:v>460</c:v>
                </c:pt>
                <c:pt idx="20">
                  <c:v>460</c:v>
                </c:pt>
                <c:pt idx="21">
                  <c:v>440</c:v>
                </c:pt>
                <c:pt idx="22">
                  <c:v>436</c:v>
                </c:pt>
                <c:pt idx="23">
                  <c:v>420</c:v>
                </c:pt>
                <c:pt idx="24">
                  <c:v>510</c:v>
                </c:pt>
                <c:pt idx="25">
                  <c:v>590</c:v>
                </c:pt>
                <c:pt idx="26">
                  <c:v>610</c:v>
                </c:pt>
                <c:pt idx="27">
                  <c:v>600</c:v>
                </c:pt>
                <c:pt idx="28">
                  <c:v>620</c:v>
                </c:pt>
                <c:pt idx="29">
                  <c:v>640</c:v>
                </c:pt>
                <c:pt idx="30">
                  <c:v>590</c:v>
                </c:pt>
                <c:pt idx="31">
                  <c:v>600</c:v>
                </c:pt>
                <c:pt idx="32">
                  <c:v>670</c:v>
                </c:pt>
                <c:pt idx="33">
                  <c:v>630</c:v>
                </c:pt>
                <c:pt idx="34">
                  <c:v>710</c:v>
                </c:pt>
                <c:pt idx="35">
                  <c:v>570</c:v>
                </c:pt>
                <c:pt idx="36">
                  <c:v>650</c:v>
                </c:pt>
                <c:pt idx="37">
                  <c:v>680</c:v>
                </c:pt>
                <c:pt idx="38">
                  <c:v>724</c:v>
                </c:pt>
                <c:pt idx="39">
                  <c:v>730</c:v>
                </c:pt>
                <c:pt idx="40">
                  <c:v>760</c:v>
                </c:pt>
                <c:pt idx="41">
                  <c:v>800</c:v>
                </c:pt>
                <c:pt idx="42">
                  <c:v>840</c:v>
                </c:pt>
                <c:pt idx="43">
                  <c:v>830</c:v>
                </c:pt>
                <c:pt idx="44">
                  <c:v>820</c:v>
                </c:pt>
                <c:pt idx="45">
                  <c:v>810</c:v>
                </c:pt>
                <c:pt idx="46">
                  <c:v>827</c:v>
                </c:pt>
                <c:pt idx="47">
                  <c:v>750</c:v>
                </c:pt>
                <c:pt idx="48">
                  <c:v>780</c:v>
                </c:pt>
                <c:pt idx="49">
                  <c:v>805</c:v>
                </c:pt>
                <c:pt idx="50">
                  <c:v>830</c:v>
                </c:pt>
                <c:pt idx="51">
                  <c:v>890</c:v>
                </c:pt>
                <c:pt idx="52">
                  <c:v>930</c:v>
                </c:pt>
                <c:pt idx="53">
                  <c:v>980</c:v>
                </c:pt>
                <c:pt idx="54">
                  <c:v>1002</c:v>
                </c:pt>
                <c:pt idx="55">
                  <c:v>970</c:v>
                </c:pt>
                <c:pt idx="56">
                  <c:v>960</c:v>
                </c:pt>
                <c:pt idx="57">
                  <c:v>930</c:v>
                </c:pt>
                <c:pt idx="58">
                  <c:v>920</c:v>
                </c:pt>
                <c:pt idx="59">
                  <c:v>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69-4756-BC90-4DBEE8EF9A1B}"/>
            </c:ext>
          </c:extLst>
        </c:ser>
        <c:ser>
          <c:idx val="2"/>
          <c:order val="2"/>
          <c:tx>
            <c:strRef>
              <c:f>'Tractor Unit Sales'!$D$1</c:f>
              <c:strCache>
                <c:ptCount val="1"/>
                <c:pt idx="0">
                  <c:v>Eur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'Tractor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'Tractor Unit Sales'!$D$2:$D$61</c:f>
              <c:numCache>
                <c:formatCode>General</c:formatCode>
                <c:ptCount val="60"/>
                <c:pt idx="0">
                  <c:v>560</c:v>
                </c:pt>
                <c:pt idx="1">
                  <c:v>600</c:v>
                </c:pt>
                <c:pt idx="2">
                  <c:v>680</c:v>
                </c:pt>
                <c:pt idx="3">
                  <c:v>650</c:v>
                </c:pt>
                <c:pt idx="4">
                  <c:v>580</c:v>
                </c:pt>
                <c:pt idx="5">
                  <c:v>590</c:v>
                </c:pt>
                <c:pt idx="6">
                  <c:v>760</c:v>
                </c:pt>
                <c:pt idx="7">
                  <c:v>645</c:v>
                </c:pt>
                <c:pt idx="8">
                  <c:v>650</c:v>
                </c:pt>
                <c:pt idx="9">
                  <c:v>670</c:v>
                </c:pt>
                <c:pt idx="10">
                  <c:v>888</c:v>
                </c:pt>
                <c:pt idx="11">
                  <c:v>850</c:v>
                </c:pt>
                <c:pt idx="12">
                  <c:v>620</c:v>
                </c:pt>
                <c:pt idx="13">
                  <c:v>760</c:v>
                </c:pt>
                <c:pt idx="14">
                  <c:v>742</c:v>
                </c:pt>
                <c:pt idx="15">
                  <c:v>780</c:v>
                </c:pt>
                <c:pt idx="16">
                  <c:v>690</c:v>
                </c:pt>
                <c:pt idx="17">
                  <c:v>721</c:v>
                </c:pt>
                <c:pt idx="18">
                  <c:v>680</c:v>
                </c:pt>
                <c:pt idx="19">
                  <c:v>711</c:v>
                </c:pt>
                <c:pt idx="20">
                  <c:v>695</c:v>
                </c:pt>
                <c:pt idx="21">
                  <c:v>650</c:v>
                </c:pt>
                <c:pt idx="22">
                  <c:v>680</c:v>
                </c:pt>
                <c:pt idx="23">
                  <c:v>657</c:v>
                </c:pt>
                <c:pt idx="24">
                  <c:v>610</c:v>
                </c:pt>
                <c:pt idx="25">
                  <c:v>680</c:v>
                </c:pt>
                <c:pt idx="26">
                  <c:v>730</c:v>
                </c:pt>
                <c:pt idx="27">
                  <c:v>820</c:v>
                </c:pt>
                <c:pt idx="28">
                  <c:v>810</c:v>
                </c:pt>
                <c:pt idx="29">
                  <c:v>807</c:v>
                </c:pt>
                <c:pt idx="30">
                  <c:v>760</c:v>
                </c:pt>
                <c:pt idx="31">
                  <c:v>720</c:v>
                </c:pt>
                <c:pt idx="32">
                  <c:v>660</c:v>
                </c:pt>
                <c:pt idx="33">
                  <c:v>630</c:v>
                </c:pt>
                <c:pt idx="34">
                  <c:v>603</c:v>
                </c:pt>
                <c:pt idx="35">
                  <c:v>570</c:v>
                </c:pt>
                <c:pt idx="36">
                  <c:v>500</c:v>
                </c:pt>
                <c:pt idx="37">
                  <c:v>590</c:v>
                </c:pt>
                <c:pt idx="38">
                  <c:v>620</c:v>
                </c:pt>
                <c:pt idx="39">
                  <c:v>730</c:v>
                </c:pt>
                <c:pt idx="40">
                  <c:v>740</c:v>
                </c:pt>
                <c:pt idx="41">
                  <c:v>720</c:v>
                </c:pt>
                <c:pt idx="42">
                  <c:v>670</c:v>
                </c:pt>
                <c:pt idx="43">
                  <c:v>610</c:v>
                </c:pt>
                <c:pt idx="44">
                  <c:v>599</c:v>
                </c:pt>
                <c:pt idx="45">
                  <c:v>560</c:v>
                </c:pt>
                <c:pt idx="46">
                  <c:v>550</c:v>
                </c:pt>
                <c:pt idx="47">
                  <c:v>520</c:v>
                </c:pt>
                <c:pt idx="48">
                  <c:v>480</c:v>
                </c:pt>
                <c:pt idx="49">
                  <c:v>523</c:v>
                </c:pt>
                <c:pt idx="50">
                  <c:v>560</c:v>
                </c:pt>
                <c:pt idx="51">
                  <c:v>570</c:v>
                </c:pt>
                <c:pt idx="52">
                  <c:v>590</c:v>
                </c:pt>
                <c:pt idx="53">
                  <c:v>600</c:v>
                </c:pt>
                <c:pt idx="54">
                  <c:v>580</c:v>
                </c:pt>
                <c:pt idx="55">
                  <c:v>570</c:v>
                </c:pt>
                <c:pt idx="56">
                  <c:v>550</c:v>
                </c:pt>
                <c:pt idx="57">
                  <c:v>530</c:v>
                </c:pt>
                <c:pt idx="58">
                  <c:v>517</c:v>
                </c:pt>
                <c:pt idx="59">
                  <c:v>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69-4756-BC90-4DBEE8EF9A1B}"/>
            </c:ext>
          </c:extLst>
        </c:ser>
        <c:ser>
          <c:idx val="3"/>
          <c:order val="3"/>
          <c:tx>
            <c:strRef>
              <c:f>'Tractor Unit Sales'!$E$1</c:f>
              <c:strCache>
                <c:ptCount val="1"/>
                <c:pt idx="0">
                  <c:v>Pac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'Tractor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'Tractor Unit Sales'!$E$2:$E$61</c:f>
              <c:numCache>
                <c:formatCode>General</c:formatCode>
                <c:ptCount val="60"/>
                <c:pt idx="0">
                  <c:v>212</c:v>
                </c:pt>
                <c:pt idx="1">
                  <c:v>230</c:v>
                </c:pt>
                <c:pt idx="2">
                  <c:v>240</c:v>
                </c:pt>
                <c:pt idx="3">
                  <c:v>263</c:v>
                </c:pt>
                <c:pt idx="4">
                  <c:v>269</c:v>
                </c:pt>
                <c:pt idx="5">
                  <c:v>280</c:v>
                </c:pt>
                <c:pt idx="6">
                  <c:v>290</c:v>
                </c:pt>
                <c:pt idx="7">
                  <c:v>270</c:v>
                </c:pt>
                <c:pt idx="8">
                  <c:v>263</c:v>
                </c:pt>
                <c:pt idx="9">
                  <c:v>258</c:v>
                </c:pt>
                <c:pt idx="10">
                  <c:v>240</c:v>
                </c:pt>
                <c:pt idx="11">
                  <c:v>230</c:v>
                </c:pt>
                <c:pt idx="12">
                  <c:v>250</c:v>
                </c:pt>
                <c:pt idx="13">
                  <c:v>275</c:v>
                </c:pt>
                <c:pt idx="14">
                  <c:v>270</c:v>
                </c:pt>
                <c:pt idx="15">
                  <c:v>280</c:v>
                </c:pt>
                <c:pt idx="16">
                  <c:v>290</c:v>
                </c:pt>
                <c:pt idx="17">
                  <c:v>300</c:v>
                </c:pt>
                <c:pt idx="18">
                  <c:v>312</c:v>
                </c:pt>
                <c:pt idx="19">
                  <c:v>305</c:v>
                </c:pt>
                <c:pt idx="20">
                  <c:v>290</c:v>
                </c:pt>
                <c:pt idx="21">
                  <c:v>260</c:v>
                </c:pt>
                <c:pt idx="22">
                  <c:v>250</c:v>
                </c:pt>
                <c:pt idx="23">
                  <c:v>240</c:v>
                </c:pt>
                <c:pt idx="24">
                  <c:v>250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290</c:v>
                </c:pt>
                <c:pt idx="29">
                  <c:v>310</c:v>
                </c:pt>
                <c:pt idx="30">
                  <c:v>340</c:v>
                </c:pt>
                <c:pt idx="31">
                  <c:v>320</c:v>
                </c:pt>
                <c:pt idx="32">
                  <c:v>313</c:v>
                </c:pt>
                <c:pt idx="33">
                  <c:v>290</c:v>
                </c:pt>
                <c:pt idx="34">
                  <c:v>280</c:v>
                </c:pt>
                <c:pt idx="35">
                  <c:v>260</c:v>
                </c:pt>
                <c:pt idx="36">
                  <c:v>287</c:v>
                </c:pt>
                <c:pt idx="37">
                  <c:v>290</c:v>
                </c:pt>
                <c:pt idx="38">
                  <c:v>300</c:v>
                </c:pt>
                <c:pt idx="39">
                  <c:v>310</c:v>
                </c:pt>
                <c:pt idx="40">
                  <c:v>330</c:v>
                </c:pt>
                <c:pt idx="41">
                  <c:v>340</c:v>
                </c:pt>
                <c:pt idx="42">
                  <c:v>350</c:v>
                </c:pt>
                <c:pt idx="43">
                  <c:v>341</c:v>
                </c:pt>
                <c:pt idx="44">
                  <c:v>330</c:v>
                </c:pt>
                <c:pt idx="45">
                  <c:v>320</c:v>
                </c:pt>
                <c:pt idx="46">
                  <c:v>300</c:v>
                </c:pt>
                <c:pt idx="47">
                  <c:v>290</c:v>
                </c:pt>
                <c:pt idx="48">
                  <c:v>200</c:v>
                </c:pt>
                <c:pt idx="49">
                  <c:v>210</c:v>
                </c:pt>
                <c:pt idx="50">
                  <c:v>220</c:v>
                </c:pt>
                <c:pt idx="51">
                  <c:v>230</c:v>
                </c:pt>
                <c:pt idx="52">
                  <c:v>253</c:v>
                </c:pt>
                <c:pt idx="53">
                  <c:v>270</c:v>
                </c:pt>
                <c:pt idx="54">
                  <c:v>280</c:v>
                </c:pt>
                <c:pt idx="55">
                  <c:v>250</c:v>
                </c:pt>
                <c:pt idx="56">
                  <c:v>230</c:v>
                </c:pt>
                <c:pt idx="57">
                  <c:v>220</c:v>
                </c:pt>
                <c:pt idx="58">
                  <c:v>190</c:v>
                </c:pt>
                <c:pt idx="59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69-4756-BC90-4DBEE8EF9A1B}"/>
            </c:ext>
          </c:extLst>
        </c:ser>
        <c:ser>
          <c:idx val="4"/>
          <c:order val="4"/>
          <c:tx>
            <c:strRef>
              <c:f>'Tractor Unit Sales'!$F$1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numRef>
              <c:f>'Tractor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'Tractor Unit Sales'!$F$2:$F$61</c:f>
              <c:numCache>
                <c:formatCode>General</c:formatCode>
                <c:ptCount val="60"/>
                <c:pt idx="24">
                  <c:v>10</c:v>
                </c:pt>
                <c:pt idx="25">
                  <c:v>12</c:v>
                </c:pt>
                <c:pt idx="26">
                  <c:v>20</c:v>
                </c:pt>
                <c:pt idx="27">
                  <c:v>22</c:v>
                </c:pt>
                <c:pt idx="28">
                  <c:v>20</c:v>
                </c:pt>
                <c:pt idx="29">
                  <c:v>24</c:v>
                </c:pt>
                <c:pt idx="30">
                  <c:v>20</c:v>
                </c:pt>
                <c:pt idx="31">
                  <c:v>31</c:v>
                </c:pt>
                <c:pt idx="32">
                  <c:v>30</c:v>
                </c:pt>
                <c:pt idx="33">
                  <c:v>37</c:v>
                </c:pt>
                <c:pt idx="34">
                  <c:v>32</c:v>
                </c:pt>
                <c:pt idx="35">
                  <c:v>33</c:v>
                </c:pt>
                <c:pt idx="36">
                  <c:v>35</c:v>
                </c:pt>
                <c:pt idx="37">
                  <c:v>50</c:v>
                </c:pt>
                <c:pt idx="38">
                  <c:v>63</c:v>
                </c:pt>
                <c:pt idx="39">
                  <c:v>68</c:v>
                </c:pt>
                <c:pt idx="40">
                  <c:v>70</c:v>
                </c:pt>
                <c:pt idx="41">
                  <c:v>82</c:v>
                </c:pt>
                <c:pt idx="42">
                  <c:v>80</c:v>
                </c:pt>
                <c:pt idx="43">
                  <c:v>90</c:v>
                </c:pt>
                <c:pt idx="44">
                  <c:v>100</c:v>
                </c:pt>
                <c:pt idx="45">
                  <c:v>102</c:v>
                </c:pt>
                <c:pt idx="46">
                  <c:v>110</c:v>
                </c:pt>
                <c:pt idx="47">
                  <c:v>114</c:v>
                </c:pt>
                <c:pt idx="48">
                  <c:v>111</c:v>
                </c:pt>
                <c:pt idx="49">
                  <c:v>121</c:v>
                </c:pt>
                <c:pt idx="50">
                  <c:v>123</c:v>
                </c:pt>
                <c:pt idx="51">
                  <c:v>120</c:v>
                </c:pt>
                <c:pt idx="52">
                  <c:v>130</c:v>
                </c:pt>
                <c:pt idx="53">
                  <c:v>136</c:v>
                </c:pt>
                <c:pt idx="54">
                  <c:v>134</c:v>
                </c:pt>
                <c:pt idx="55">
                  <c:v>132</c:v>
                </c:pt>
                <c:pt idx="56">
                  <c:v>137</c:v>
                </c:pt>
                <c:pt idx="57">
                  <c:v>130</c:v>
                </c:pt>
                <c:pt idx="58">
                  <c:v>139</c:v>
                </c:pt>
                <c:pt idx="59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69-4756-BC90-4DBEE8EF9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061168"/>
        <c:axId val="1588061584"/>
      </c:areaChart>
      <c:dateAx>
        <c:axId val="15880611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061584"/>
        <c:crosses val="autoZero"/>
        <c:auto val="1"/>
        <c:lblOffset val="100"/>
        <c:baseTimeUnit val="months"/>
        <c:majorUnit val="4"/>
        <c:majorTimeUnit val="months"/>
      </c:dateAx>
      <c:valAx>
        <c:axId val="158806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06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Tractor</a:t>
            </a:r>
            <a:r>
              <a:rPr lang="en-US" baseline="0"/>
              <a:t> Market Share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0132624988141542E-2"/>
                  <c:y val="-0.147558931733011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'Tractor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'Tractor Unit Sales'!$M$2:$M$61</c:f>
              <c:numCache>
                <c:formatCode>0.00%</c:formatCode>
                <c:ptCount val="60"/>
                <c:pt idx="0">
                  <c:v>0.1028240028921977</c:v>
                </c:pt>
                <c:pt idx="1">
                  <c:v>0.10480912241644896</c:v>
                </c:pt>
                <c:pt idx="2">
                  <c:v>0.10566905043994801</c:v>
                </c:pt>
                <c:pt idx="3">
                  <c:v>0.10775002238449184</c:v>
                </c:pt>
                <c:pt idx="4">
                  <c:v>0.1092916534474262</c:v>
                </c:pt>
                <c:pt idx="5">
                  <c:v>0.11263450022225542</c:v>
                </c:pt>
                <c:pt idx="6">
                  <c:v>0.11480641802205122</c:v>
                </c:pt>
                <c:pt idx="7">
                  <c:v>0.11752479653584073</c:v>
                </c:pt>
                <c:pt idx="8">
                  <c:v>0.11789501007013892</c:v>
                </c:pt>
                <c:pt idx="9">
                  <c:v>0.11826775831518782</c:v>
                </c:pt>
                <c:pt idx="10">
                  <c:v>0.11867478142617918</c:v>
                </c:pt>
                <c:pt idx="11">
                  <c:v>0.12051327891628642</c:v>
                </c:pt>
                <c:pt idx="12">
                  <c:v>0.12324537455226886</c:v>
                </c:pt>
                <c:pt idx="13">
                  <c:v>0.12310851735864987</c:v>
                </c:pt>
                <c:pt idx="14">
                  <c:v>0.12367250742679653</c:v>
                </c:pt>
                <c:pt idx="15">
                  <c:v>0.12419196584011349</c:v>
                </c:pt>
                <c:pt idx="16">
                  <c:v>0.1279022145958067</c:v>
                </c:pt>
                <c:pt idx="17">
                  <c:v>0.12852884709594156</c:v>
                </c:pt>
                <c:pt idx="18">
                  <c:v>0.13065169106089786</c:v>
                </c:pt>
                <c:pt idx="19">
                  <c:v>0.13205993061976354</c:v>
                </c:pt>
                <c:pt idx="20">
                  <c:v>0.13286690710587609</c:v>
                </c:pt>
                <c:pt idx="21">
                  <c:v>0.1327118296519833</c:v>
                </c:pt>
                <c:pt idx="22">
                  <c:v>0.13442645046133325</c:v>
                </c:pt>
                <c:pt idx="23">
                  <c:v>0.13487649197062657</c:v>
                </c:pt>
                <c:pt idx="24">
                  <c:v>0.13701379260301533</c:v>
                </c:pt>
                <c:pt idx="25">
                  <c:v>0.13803442422439038</c:v>
                </c:pt>
                <c:pt idx="26">
                  <c:v>0.13632422461064317</c:v>
                </c:pt>
                <c:pt idx="27">
                  <c:v>0.13459808900143608</c:v>
                </c:pt>
                <c:pt idx="28">
                  <c:v>0.13552547471564852</c:v>
                </c:pt>
                <c:pt idx="29">
                  <c:v>0.13820018065367667</c:v>
                </c:pt>
                <c:pt idx="30">
                  <c:v>0.13775580771373921</c:v>
                </c:pt>
                <c:pt idx="31">
                  <c:v>0.13895029050214905</c:v>
                </c:pt>
                <c:pt idx="32">
                  <c:v>0.14234534814348312</c:v>
                </c:pt>
                <c:pt idx="33">
                  <c:v>0.14279292011510794</c:v>
                </c:pt>
                <c:pt idx="34">
                  <c:v>0.14909581765605653</c:v>
                </c:pt>
                <c:pt idx="35">
                  <c:v>0.14641036933543</c:v>
                </c:pt>
                <c:pt idx="36">
                  <c:v>0.15297738775976547</c:v>
                </c:pt>
                <c:pt idx="37">
                  <c:v>0.14752138445400007</c:v>
                </c:pt>
                <c:pt idx="38">
                  <c:v>0.14846963823515941</c:v>
                </c:pt>
                <c:pt idx="39">
                  <c:v>0.14619355074085894</c:v>
                </c:pt>
                <c:pt idx="40">
                  <c:v>0.1464300029703911</c:v>
                </c:pt>
                <c:pt idx="41">
                  <c:v>0.149263619088051</c:v>
                </c:pt>
                <c:pt idx="42">
                  <c:v>0.15122566980641625</c:v>
                </c:pt>
                <c:pt idx="43">
                  <c:v>0.15192437174458628</c:v>
                </c:pt>
                <c:pt idx="44">
                  <c:v>0.15192177668526927</c:v>
                </c:pt>
                <c:pt idx="45">
                  <c:v>0.15261141220628024</c:v>
                </c:pt>
                <c:pt idx="46">
                  <c:v>0.15296129509129963</c:v>
                </c:pt>
                <c:pt idx="47">
                  <c:v>0.15150890761026536</c:v>
                </c:pt>
                <c:pt idx="48">
                  <c:v>0.15406269230550576</c:v>
                </c:pt>
                <c:pt idx="49">
                  <c:v>0.15671270899804426</c:v>
                </c:pt>
                <c:pt idx="50">
                  <c:v>0.1579866387336801</c:v>
                </c:pt>
                <c:pt idx="51">
                  <c:v>0.16181394274095981</c:v>
                </c:pt>
                <c:pt idx="52">
                  <c:v>0.16246870372318892</c:v>
                </c:pt>
                <c:pt idx="53">
                  <c:v>0.1635156776219866</c:v>
                </c:pt>
                <c:pt idx="54">
                  <c:v>0.16574734385674175</c:v>
                </c:pt>
                <c:pt idx="55">
                  <c:v>0.16737695057830002</c:v>
                </c:pt>
                <c:pt idx="56">
                  <c:v>0.16949190154316732</c:v>
                </c:pt>
                <c:pt idx="57">
                  <c:v>0.16809184891065218</c:v>
                </c:pt>
                <c:pt idx="58">
                  <c:v>0.16835650705861149</c:v>
                </c:pt>
                <c:pt idx="59">
                  <c:v>0.16903937935211744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75-4BC9-B181-6079A8DE0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953904"/>
        <c:axId val="1445958064"/>
      </c:lineChart>
      <c:dateAx>
        <c:axId val="144595390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958064"/>
        <c:crosses val="autoZero"/>
        <c:auto val="0"/>
        <c:lblOffset val="100"/>
        <c:baseTimeUnit val="months"/>
        <c:majorUnit val="4"/>
        <c:majorTimeUnit val="months"/>
      </c:dateAx>
      <c:valAx>
        <c:axId val="1445958064"/>
        <c:scaling>
          <c:orientation val="minMax"/>
          <c:max val="0.2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95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Tractor Market Share by Region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'Tractor Unit Sales'!$B$1</c:f>
              <c:strCache>
                <c:ptCount val="1"/>
                <c:pt idx="0">
                  <c:v>NA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'Tractor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'Tractor Unit Sales'!$H$2:$H$61</c:f>
              <c:numCache>
                <c:formatCode>0.00%</c:formatCode>
                <c:ptCount val="60"/>
                <c:pt idx="0">
                  <c:v>7.0000000000000007E-2</c:v>
                </c:pt>
                <c:pt idx="1">
                  <c:v>7.1116393442622952E-2</c:v>
                </c:pt>
                <c:pt idx="2">
                  <c:v>7.2999999999999995E-2</c:v>
                </c:pt>
                <c:pt idx="3">
                  <c:v>7.644705882352941E-2</c:v>
                </c:pt>
                <c:pt idx="4">
                  <c:v>7.6999999999999999E-2</c:v>
                </c:pt>
                <c:pt idx="5">
                  <c:v>0.08</c:v>
                </c:pt>
                <c:pt idx="6">
                  <c:v>8.3325490196078433E-2</c:v>
                </c:pt>
                <c:pt idx="7">
                  <c:v>8.5000000000000006E-2</c:v>
                </c:pt>
                <c:pt idx="8">
                  <c:v>8.5429787234042556E-2</c:v>
                </c:pt>
                <c:pt idx="9">
                  <c:v>8.6955555555555536E-2</c:v>
                </c:pt>
                <c:pt idx="10">
                  <c:v>9.0557499999999999E-2</c:v>
                </c:pt>
                <c:pt idx="11">
                  <c:v>9.1999999999999998E-2</c:v>
                </c:pt>
                <c:pt idx="12">
                  <c:v>9.6168421052631584E-2</c:v>
                </c:pt>
                <c:pt idx="13">
                  <c:v>9.799999999999999E-2</c:v>
                </c:pt>
                <c:pt idx="14">
                  <c:v>0.10099999999999999</c:v>
                </c:pt>
                <c:pt idx="15">
                  <c:v>0.104</c:v>
                </c:pt>
                <c:pt idx="16">
                  <c:v>0.106</c:v>
                </c:pt>
                <c:pt idx="17">
                  <c:v>0.107</c:v>
                </c:pt>
                <c:pt idx="18">
                  <c:v>0.10916029411764705</c:v>
                </c:pt>
                <c:pt idx="19">
                  <c:v>0.11100000000000002</c:v>
                </c:pt>
                <c:pt idx="20">
                  <c:v>0.113</c:v>
                </c:pt>
                <c:pt idx="21">
                  <c:v>0.11600000000000002</c:v>
                </c:pt>
                <c:pt idx="22">
                  <c:v>0.11800000000000001</c:v>
                </c:pt>
                <c:pt idx="23">
                  <c:v>0.11967358490566038</c:v>
                </c:pt>
                <c:pt idx="24">
                  <c:v>0.11700000000000001</c:v>
                </c:pt>
                <c:pt idx="25">
                  <c:v>0.12130632911392403</c:v>
                </c:pt>
                <c:pt idx="26">
                  <c:v>0.125</c:v>
                </c:pt>
                <c:pt idx="27">
                  <c:v>0.126</c:v>
                </c:pt>
                <c:pt idx="28">
                  <c:v>0.12399999999999999</c:v>
                </c:pt>
                <c:pt idx="29">
                  <c:v>0.12724660194174758</c:v>
                </c:pt>
                <c:pt idx="30">
                  <c:v>0.129774</c:v>
                </c:pt>
                <c:pt idx="31">
                  <c:v>0.13200000000000001</c:v>
                </c:pt>
                <c:pt idx="32">
                  <c:v>0.13349875</c:v>
                </c:pt>
                <c:pt idx="33">
                  <c:v>0.13600000000000001</c:v>
                </c:pt>
                <c:pt idx="34">
                  <c:v>0.14081304347826087</c:v>
                </c:pt>
                <c:pt idx="35">
                  <c:v>0.14557500000000001</c:v>
                </c:pt>
                <c:pt idx="36">
                  <c:v>0.14599999999999999</c:v>
                </c:pt>
                <c:pt idx="37">
                  <c:v>0.14800000000000002</c:v>
                </c:pt>
                <c:pt idx="38">
                  <c:v>0.14900000000000002</c:v>
                </c:pt>
                <c:pt idx="39">
                  <c:v>0.152</c:v>
                </c:pt>
                <c:pt idx="40">
                  <c:v>0.155</c:v>
                </c:pt>
                <c:pt idx="41">
                  <c:v>0.15699083342113582</c:v>
                </c:pt>
                <c:pt idx="42">
                  <c:v>0.159</c:v>
                </c:pt>
                <c:pt idx="43">
                  <c:v>0.16300000000000001</c:v>
                </c:pt>
                <c:pt idx="44">
                  <c:v>0.16400000000000001</c:v>
                </c:pt>
                <c:pt idx="45">
                  <c:v>0.16300000000000001</c:v>
                </c:pt>
                <c:pt idx="46">
                  <c:v>0.16600000000000001</c:v>
                </c:pt>
                <c:pt idx="47">
                  <c:v>0.16946090909090911</c:v>
                </c:pt>
                <c:pt idx="48">
                  <c:v>0.17200000000000001</c:v>
                </c:pt>
                <c:pt idx="49">
                  <c:v>0.17600000000000005</c:v>
                </c:pt>
                <c:pt idx="50">
                  <c:v>0.17900000000000002</c:v>
                </c:pt>
                <c:pt idx="51">
                  <c:v>0.18200000000000002</c:v>
                </c:pt>
                <c:pt idx="52">
                  <c:v>0.184</c:v>
                </c:pt>
                <c:pt idx="53">
                  <c:v>0.185</c:v>
                </c:pt>
                <c:pt idx="54">
                  <c:v>0.187</c:v>
                </c:pt>
                <c:pt idx="55">
                  <c:v>0.19014051724137931</c:v>
                </c:pt>
                <c:pt idx="56">
                  <c:v>0.193</c:v>
                </c:pt>
                <c:pt idx="57">
                  <c:v>0.19500000000000001</c:v>
                </c:pt>
                <c:pt idx="58">
                  <c:v>0.19600000000000001</c:v>
                </c:pt>
                <c:pt idx="59">
                  <c:v>0.19877008530053561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12-4E6A-BA0A-4B4F9342E771}"/>
            </c:ext>
          </c:extLst>
        </c:ser>
        <c:ser>
          <c:idx val="1"/>
          <c:order val="1"/>
          <c:tx>
            <c:strRef>
              <c:f>'Tractor Unit Sales'!$C$1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'Tractor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'Tractor Unit Sales'!$I$2:$I$61</c:f>
              <c:numCache>
                <c:formatCode>0.00%</c:formatCode>
                <c:ptCount val="60"/>
                <c:pt idx="0">
                  <c:v>0.25406504065040653</c:v>
                </c:pt>
                <c:pt idx="1">
                  <c:v>0.25700000000000001</c:v>
                </c:pt>
                <c:pt idx="2">
                  <c:v>0.25600000000000001</c:v>
                </c:pt>
                <c:pt idx="3">
                  <c:v>0.26300000000000001</c:v>
                </c:pt>
                <c:pt idx="4">
                  <c:v>0.26500000000000001</c:v>
                </c:pt>
                <c:pt idx="5">
                  <c:v>0.26500000000000001</c:v>
                </c:pt>
                <c:pt idx="6">
                  <c:v>0.27009230769230774</c:v>
                </c:pt>
                <c:pt idx="7">
                  <c:v>0.26500000000000001</c:v>
                </c:pt>
                <c:pt idx="8">
                  <c:v>0.26700000000000002</c:v>
                </c:pt>
                <c:pt idx="9">
                  <c:v>0.26800000000000002</c:v>
                </c:pt>
                <c:pt idx="10">
                  <c:v>0.26900000000000002</c:v>
                </c:pt>
                <c:pt idx="11">
                  <c:v>0.27200000000000002</c:v>
                </c:pt>
                <c:pt idx="12">
                  <c:v>0.27300000000000002</c:v>
                </c:pt>
                <c:pt idx="13">
                  <c:v>0.27500000000000002</c:v>
                </c:pt>
                <c:pt idx="14">
                  <c:v>0.27400000000000002</c:v>
                </c:pt>
                <c:pt idx="15">
                  <c:v>0.27300000000000002</c:v>
                </c:pt>
                <c:pt idx="16">
                  <c:v>0.27200000000000002</c:v>
                </c:pt>
                <c:pt idx="17">
                  <c:v>0.27</c:v>
                </c:pt>
                <c:pt idx="18">
                  <c:v>0.27083333333333331</c:v>
                </c:pt>
                <c:pt idx="19">
                  <c:v>0.27300000000000002</c:v>
                </c:pt>
                <c:pt idx="20">
                  <c:v>0.27400000000000002</c:v>
                </c:pt>
                <c:pt idx="21">
                  <c:v>0.27200000000000002</c:v>
                </c:pt>
                <c:pt idx="22">
                  <c:v>0.27883720930232558</c:v>
                </c:pt>
                <c:pt idx="23">
                  <c:v>0.27600000000000002</c:v>
                </c:pt>
                <c:pt idx="24">
                  <c:v>0.27800000000000002</c:v>
                </c:pt>
                <c:pt idx="25">
                  <c:v>0.27900000000000003</c:v>
                </c:pt>
                <c:pt idx="26">
                  <c:v>0.27700000000000002</c:v>
                </c:pt>
                <c:pt idx="27">
                  <c:v>0.27900000000000003</c:v>
                </c:pt>
                <c:pt idx="28">
                  <c:v>0.28000000000000003</c:v>
                </c:pt>
                <c:pt idx="29">
                  <c:v>0.28100000000000003</c:v>
                </c:pt>
                <c:pt idx="30">
                  <c:v>0.28100000000000003</c:v>
                </c:pt>
                <c:pt idx="31">
                  <c:v>0.28199999999999997</c:v>
                </c:pt>
                <c:pt idx="32">
                  <c:v>0.28299999999999997</c:v>
                </c:pt>
                <c:pt idx="33">
                  <c:v>0.28499999999999998</c:v>
                </c:pt>
                <c:pt idx="34">
                  <c:v>0.28599999999999998</c:v>
                </c:pt>
                <c:pt idx="35">
                  <c:v>0.28699999999999998</c:v>
                </c:pt>
                <c:pt idx="36">
                  <c:v>0.28799999999999998</c:v>
                </c:pt>
                <c:pt idx="37">
                  <c:v>0.28899999999999998</c:v>
                </c:pt>
                <c:pt idx="38">
                  <c:v>0.29469859154929573</c:v>
                </c:pt>
                <c:pt idx="39">
                  <c:v>0.28999999999999998</c:v>
                </c:pt>
                <c:pt idx="40">
                  <c:v>0.29099999999999998</c:v>
                </c:pt>
                <c:pt idx="41">
                  <c:v>0.29099999999999998</c:v>
                </c:pt>
                <c:pt idx="42">
                  <c:v>0.29099999999999998</c:v>
                </c:pt>
                <c:pt idx="43">
                  <c:v>0.29299999999999998</c:v>
                </c:pt>
                <c:pt idx="44">
                  <c:v>0.29399999999999998</c:v>
                </c:pt>
                <c:pt idx="45">
                  <c:v>0.29299999999999998</c:v>
                </c:pt>
                <c:pt idx="46">
                  <c:v>0.30119135802469138</c:v>
                </c:pt>
                <c:pt idx="47">
                  <c:v>0.29599999999999999</c:v>
                </c:pt>
                <c:pt idx="48">
                  <c:v>0.29599999999999999</c:v>
                </c:pt>
                <c:pt idx="49">
                  <c:v>0.29784999999999995</c:v>
                </c:pt>
                <c:pt idx="50">
                  <c:v>0.29699999999999999</c:v>
                </c:pt>
                <c:pt idx="51">
                  <c:v>0.29699999999999999</c:v>
                </c:pt>
                <c:pt idx="52">
                  <c:v>0.29699999999999999</c:v>
                </c:pt>
                <c:pt idx="53">
                  <c:v>0.29599999999999999</c:v>
                </c:pt>
                <c:pt idx="54">
                  <c:v>0.29558999999999996</c:v>
                </c:pt>
                <c:pt idx="55">
                  <c:v>0.29599999999999999</c:v>
                </c:pt>
                <c:pt idx="56">
                  <c:v>0.29699999999999999</c:v>
                </c:pt>
                <c:pt idx="57">
                  <c:v>0.29699999999999999</c:v>
                </c:pt>
                <c:pt idx="58">
                  <c:v>0.29799999999999999</c:v>
                </c:pt>
                <c:pt idx="59">
                  <c:v>0.29765999999999998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12-4E6A-BA0A-4B4F9342E771}"/>
            </c:ext>
          </c:extLst>
        </c:ser>
        <c:ser>
          <c:idx val="2"/>
          <c:order val="2"/>
          <c:tx>
            <c:strRef>
              <c:f>'Tractor Unit Sales'!$D$1</c:f>
              <c:strCache>
                <c:ptCount val="1"/>
                <c:pt idx="0">
                  <c:v>Eur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'Tractor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'Tractor Unit Sales'!$J$2:$J$61</c:f>
              <c:numCache>
                <c:formatCode>0.00%</c:formatCode>
                <c:ptCount val="60"/>
                <c:pt idx="0">
                  <c:v>0.11</c:v>
                </c:pt>
                <c:pt idx="1">
                  <c:v>0.11300000000000002</c:v>
                </c:pt>
                <c:pt idx="2">
                  <c:v>0.112</c:v>
                </c:pt>
                <c:pt idx="3">
                  <c:v>0.111</c:v>
                </c:pt>
                <c:pt idx="4">
                  <c:v>0.11</c:v>
                </c:pt>
                <c:pt idx="5">
                  <c:v>0.111</c:v>
                </c:pt>
                <c:pt idx="6">
                  <c:v>0.106</c:v>
                </c:pt>
                <c:pt idx="7">
                  <c:v>0.10884375</c:v>
                </c:pt>
                <c:pt idx="8">
                  <c:v>0.10699999999999998</c:v>
                </c:pt>
                <c:pt idx="9">
                  <c:v>0.106</c:v>
                </c:pt>
                <c:pt idx="10">
                  <c:v>0.10595454545454544</c:v>
                </c:pt>
                <c:pt idx="11">
                  <c:v>0.107</c:v>
                </c:pt>
                <c:pt idx="12">
                  <c:v>0.109</c:v>
                </c:pt>
                <c:pt idx="13">
                  <c:v>0.108</c:v>
                </c:pt>
                <c:pt idx="14">
                  <c:v>0.10628648648648649</c:v>
                </c:pt>
                <c:pt idx="15">
                  <c:v>0.104</c:v>
                </c:pt>
                <c:pt idx="16">
                  <c:v>0.105</c:v>
                </c:pt>
                <c:pt idx="17">
                  <c:v>0.10314305555555554</c:v>
                </c:pt>
                <c:pt idx="18">
                  <c:v>0.10199999999999999</c:v>
                </c:pt>
                <c:pt idx="19">
                  <c:v>0.10514788732394366</c:v>
                </c:pt>
                <c:pt idx="20">
                  <c:v>0.1047536231884058</c:v>
                </c:pt>
                <c:pt idx="21">
                  <c:v>0.10299999999999999</c:v>
                </c:pt>
                <c:pt idx="22">
                  <c:v>0.105</c:v>
                </c:pt>
                <c:pt idx="23">
                  <c:v>0.10512000000000001</c:v>
                </c:pt>
                <c:pt idx="24">
                  <c:v>0.10299999999999999</c:v>
                </c:pt>
                <c:pt idx="25">
                  <c:v>0.10199999999999999</c:v>
                </c:pt>
                <c:pt idx="26">
                  <c:v>0.10099999999999999</c:v>
                </c:pt>
                <c:pt idx="27">
                  <c:v>0.1</c:v>
                </c:pt>
                <c:pt idx="28">
                  <c:v>0.10199999999999999</c:v>
                </c:pt>
                <c:pt idx="29">
                  <c:v>0.10188375</c:v>
                </c:pt>
                <c:pt idx="30">
                  <c:v>9.9000000000000005E-2</c:v>
                </c:pt>
                <c:pt idx="31">
                  <c:v>0.1</c:v>
                </c:pt>
                <c:pt idx="32">
                  <c:v>9.8000000000000004E-2</c:v>
                </c:pt>
                <c:pt idx="33">
                  <c:v>9.7000000000000003E-2</c:v>
                </c:pt>
                <c:pt idx="34">
                  <c:v>9.9495000000000014E-2</c:v>
                </c:pt>
                <c:pt idx="35">
                  <c:v>9.8000000000000004E-2</c:v>
                </c:pt>
                <c:pt idx="36">
                  <c:v>9.9000000000000005E-2</c:v>
                </c:pt>
                <c:pt idx="37">
                  <c:v>9.7000000000000003E-2</c:v>
                </c:pt>
                <c:pt idx="38">
                  <c:v>9.8000000000000004E-2</c:v>
                </c:pt>
                <c:pt idx="39">
                  <c:v>9.6000000000000002E-2</c:v>
                </c:pt>
                <c:pt idx="40">
                  <c:v>9.5000000000000001E-2</c:v>
                </c:pt>
                <c:pt idx="41">
                  <c:v>9.8000000000000004E-2</c:v>
                </c:pt>
                <c:pt idx="42">
                  <c:v>9.6000000000000002E-2</c:v>
                </c:pt>
                <c:pt idx="43">
                  <c:v>9.4E-2</c:v>
                </c:pt>
                <c:pt idx="44">
                  <c:v>9.4841666666666657E-2</c:v>
                </c:pt>
                <c:pt idx="45">
                  <c:v>9.6000000000000002E-2</c:v>
                </c:pt>
                <c:pt idx="46">
                  <c:v>9.4999999999999987E-2</c:v>
                </c:pt>
                <c:pt idx="47">
                  <c:v>9.2999999999999999E-2</c:v>
                </c:pt>
                <c:pt idx="48">
                  <c:v>9.4E-2</c:v>
                </c:pt>
                <c:pt idx="49">
                  <c:v>9.5548076923076916E-2</c:v>
                </c:pt>
                <c:pt idx="50">
                  <c:v>9.2999999999999999E-2</c:v>
                </c:pt>
                <c:pt idx="51">
                  <c:v>9.4E-2</c:v>
                </c:pt>
                <c:pt idx="52">
                  <c:v>9.2999999999999999E-2</c:v>
                </c:pt>
                <c:pt idx="53">
                  <c:v>9.0999999999999998E-2</c:v>
                </c:pt>
                <c:pt idx="54">
                  <c:v>9.1999999999999998E-2</c:v>
                </c:pt>
                <c:pt idx="55">
                  <c:v>9.4E-2</c:v>
                </c:pt>
                <c:pt idx="56">
                  <c:v>9.4999999999999987E-2</c:v>
                </c:pt>
                <c:pt idx="57">
                  <c:v>9.2999999999999999E-2</c:v>
                </c:pt>
                <c:pt idx="58">
                  <c:v>9.2249019607843138E-2</c:v>
                </c:pt>
                <c:pt idx="59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12-4E6A-BA0A-4B4F9342E771}"/>
            </c:ext>
          </c:extLst>
        </c:ser>
        <c:ser>
          <c:idx val="3"/>
          <c:order val="3"/>
          <c:tx>
            <c:strRef>
              <c:f>'Tractor Unit Sales'!$E$1</c:f>
              <c:strCache>
                <c:ptCount val="1"/>
                <c:pt idx="0">
                  <c:v>Pac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'Tractor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'Tractor Unit Sales'!$K$2:$K$61</c:f>
              <c:numCache>
                <c:formatCode>0.00%</c:formatCode>
                <c:ptCount val="60"/>
                <c:pt idx="0">
                  <c:v>0.21479229989868287</c:v>
                </c:pt>
                <c:pt idx="1">
                  <c:v>0.21099999999999999</c:v>
                </c:pt>
                <c:pt idx="2">
                  <c:v>0.21300000000000002</c:v>
                </c:pt>
                <c:pt idx="3">
                  <c:v>0.21748076923076926</c:v>
                </c:pt>
                <c:pt idx="4">
                  <c:v>0.22037307692307692</c:v>
                </c:pt>
                <c:pt idx="5">
                  <c:v>0.21099999999999999</c:v>
                </c:pt>
                <c:pt idx="6">
                  <c:v>0.219</c:v>
                </c:pt>
                <c:pt idx="7">
                  <c:v>0.21299999999999999</c:v>
                </c:pt>
                <c:pt idx="8">
                  <c:v>0.21748076923076926</c:v>
                </c:pt>
                <c:pt idx="9">
                  <c:v>0.22084799999999999</c:v>
                </c:pt>
                <c:pt idx="10">
                  <c:v>0.21300000000000002</c:v>
                </c:pt>
                <c:pt idx="11">
                  <c:v>0.21199999999999999</c:v>
                </c:pt>
                <c:pt idx="12">
                  <c:v>0.21100000000000002</c:v>
                </c:pt>
                <c:pt idx="13">
                  <c:v>0.21388888888888888</c:v>
                </c:pt>
                <c:pt idx="14">
                  <c:v>0.21</c:v>
                </c:pt>
                <c:pt idx="15">
                  <c:v>0.20799999999999999</c:v>
                </c:pt>
                <c:pt idx="16">
                  <c:v>0.20899999999999999</c:v>
                </c:pt>
                <c:pt idx="17">
                  <c:v>0.20699999999999999</c:v>
                </c:pt>
                <c:pt idx="18">
                  <c:v>0.20934193548387095</c:v>
                </c:pt>
                <c:pt idx="19">
                  <c:v>0.21044999999999997</c:v>
                </c:pt>
                <c:pt idx="20">
                  <c:v>0.20799999999999999</c:v>
                </c:pt>
                <c:pt idx="21">
                  <c:v>0.20699999999999996</c:v>
                </c:pt>
                <c:pt idx="22">
                  <c:v>0.20600000000000002</c:v>
                </c:pt>
                <c:pt idx="23">
                  <c:v>0.20499999999999999</c:v>
                </c:pt>
                <c:pt idx="24">
                  <c:v>0.20699999999999999</c:v>
                </c:pt>
                <c:pt idx="25">
                  <c:v>0.20600000000000002</c:v>
                </c:pt>
                <c:pt idx="26">
                  <c:v>0.20699999999999996</c:v>
                </c:pt>
                <c:pt idx="27">
                  <c:v>0.20600000000000002</c:v>
                </c:pt>
                <c:pt idx="28">
                  <c:v>0.20499999999999999</c:v>
                </c:pt>
                <c:pt idx="29">
                  <c:v>0.20399999999999999</c:v>
                </c:pt>
                <c:pt idx="30">
                  <c:v>0.20300000000000001</c:v>
                </c:pt>
                <c:pt idx="31">
                  <c:v>0.20200000000000001</c:v>
                </c:pt>
                <c:pt idx="32">
                  <c:v>0.20496451612903227</c:v>
                </c:pt>
                <c:pt idx="33">
                  <c:v>0.20399999999999999</c:v>
                </c:pt>
                <c:pt idx="34">
                  <c:v>0.20499999999999999</c:v>
                </c:pt>
                <c:pt idx="35">
                  <c:v>0.20599999999999999</c:v>
                </c:pt>
                <c:pt idx="36">
                  <c:v>0.20909999999999998</c:v>
                </c:pt>
                <c:pt idx="37">
                  <c:v>0.20200000000000001</c:v>
                </c:pt>
                <c:pt idx="38">
                  <c:v>0.20300000000000001</c:v>
                </c:pt>
                <c:pt idx="39">
                  <c:v>0.20499999999999999</c:v>
                </c:pt>
                <c:pt idx="40">
                  <c:v>0.20100000000000001</c:v>
                </c:pt>
                <c:pt idx="41">
                  <c:v>0.20399999999999999</c:v>
                </c:pt>
                <c:pt idx="42">
                  <c:v>0.20200000000000001</c:v>
                </c:pt>
                <c:pt idx="43">
                  <c:v>0.20058823529411765</c:v>
                </c:pt>
                <c:pt idx="44">
                  <c:v>0.20100000000000001</c:v>
                </c:pt>
                <c:pt idx="45">
                  <c:v>0.20300000000000001</c:v>
                </c:pt>
                <c:pt idx="46">
                  <c:v>0.20099999999999998</c:v>
                </c:pt>
                <c:pt idx="47">
                  <c:v>0.2</c:v>
                </c:pt>
                <c:pt idx="48">
                  <c:v>0.19800000000000001</c:v>
                </c:pt>
                <c:pt idx="49">
                  <c:v>0.20100000000000004</c:v>
                </c:pt>
                <c:pt idx="50">
                  <c:v>0.19899999999999998</c:v>
                </c:pt>
                <c:pt idx="51">
                  <c:v>0.2</c:v>
                </c:pt>
                <c:pt idx="52">
                  <c:v>0.20341200000000001</c:v>
                </c:pt>
                <c:pt idx="53">
                  <c:v>0.19900000000000004</c:v>
                </c:pt>
                <c:pt idx="54">
                  <c:v>0.19700000000000001</c:v>
                </c:pt>
                <c:pt idx="55">
                  <c:v>0.19800000000000001</c:v>
                </c:pt>
                <c:pt idx="56">
                  <c:v>0.19600000000000001</c:v>
                </c:pt>
                <c:pt idx="57">
                  <c:v>0.19500000000000001</c:v>
                </c:pt>
                <c:pt idx="58">
                  <c:v>0.19500000000000001</c:v>
                </c:pt>
                <c:pt idx="59">
                  <c:v>0.19400000000000001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12-4E6A-BA0A-4B4F9342E771}"/>
            </c:ext>
          </c:extLst>
        </c:ser>
        <c:ser>
          <c:idx val="4"/>
          <c:order val="4"/>
          <c:tx>
            <c:strRef>
              <c:f>'Tractor Unit Sales'!$F$1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'Tractor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'Tractor Unit Sales'!$L$2:$L$61</c:f>
              <c:numCache>
                <c:formatCode>0.00%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2.9999999999999995E-2</c:v>
                </c:pt>
                <c:pt idx="25">
                  <c:v>3.8399999999999997E-2</c:v>
                </c:pt>
                <c:pt idx="26">
                  <c:v>3.3000000000000002E-2</c:v>
                </c:pt>
                <c:pt idx="27">
                  <c:v>3.8500000000000006E-2</c:v>
                </c:pt>
                <c:pt idx="28">
                  <c:v>3.6000000000000004E-2</c:v>
                </c:pt>
                <c:pt idx="29">
                  <c:v>4.5599999999999995E-2</c:v>
                </c:pt>
                <c:pt idx="30">
                  <c:v>3.9E-2</c:v>
                </c:pt>
                <c:pt idx="31">
                  <c:v>4.0299999999999996E-2</c:v>
                </c:pt>
                <c:pt idx="32">
                  <c:v>0.04</c:v>
                </c:pt>
                <c:pt idx="33">
                  <c:v>5.0566666666666663E-2</c:v>
                </c:pt>
                <c:pt idx="34">
                  <c:v>4.48E-2</c:v>
                </c:pt>
                <c:pt idx="35">
                  <c:v>4.7299999999999995E-2</c:v>
                </c:pt>
                <c:pt idx="36">
                  <c:v>4.8999999999999995E-2</c:v>
                </c:pt>
                <c:pt idx="37">
                  <c:v>4.7036688617121354E-2</c:v>
                </c:pt>
                <c:pt idx="38">
                  <c:v>4.9841772151898736E-2</c:v>
                </c:pt>
                <c:pt idx="39">
                  <c:v>5.0999999999999997E-2</c:v>
                </c:pt>
                <c:pt idx="40">
                  <c:v>4.4999999999999998E-2</c:v>
                </c:pt>
                <c:pt idx="41">
                  <c:v>4.7149999999999997E-2</c:v>
                </c:pt>
                <c:pt idx="42">
                  <c:v>4.7E-2</c:v>
                </c:pt>
                <c:pt idx="43">
                  <c:v>4.7E-2</c:v>
                </c:pt>
                <c:pt idx="44">
                  <c:v>4.7999999999999994E-2</c:v>
                </c:pt>
                <c:pt idx="45">
                  <c:v>4.7940000000000003E-2</c:v>
                </c:pt>
                <c:pt idx="46">
                  <c:v>4.8000000000000001E-2</c:v>
                </c:pt>
                <c:pt idx="47">
                  <c:v>5.0781818181818185E-2</c:v>
                </c:pt>
                <c:pt idx="48">
                  <c:v>4.8436363636363639E-2</c:v>
                </c:pt>
                <c:pt idx="49">
                  <c:v>4.9408333333333339E-2</c:v>
                </c:pt>
                <c:pt idx="50">
                  <c:v>5.1249999999999997E-2</c:v>
                </c:pt>
                <c:pt idx="51">
                  <c:v>5.0999999999999997E-2</c:v>
                </c:pt>
                <c:pt idx="52">
                  <c:v>0.05</c:v>
                </c:pt>
                <c:pt idx="53">
                  <c:v>5.1261538461538469E-2</c:v>
                </c:pt>
                <c:pt idx="54">
                  <c:v>5.153846153846154E-2</c:v>
                </c:pt>
                <c:pt idx="55">
                  <c:v>5.1784615384615387E-2</c:v>
                </c:pt>
                <c:pt idx="56">
                  <c:v>5.5853846153846157E-2</c:v>
                </c:pt>
                <c:pt idx="57">
                  <c:v>5.1648788239968213E-2</c:v>
                </c:pt>
                <c:pt idx="58">
                  <c:v>5.4702872884691063E-2</c:v>
                </c:pt>
                <c:pt idx="59">
                  <c:v>5.3407692307692309E-2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12-4E6A-BA0A-4B4F9342E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1408816"/>
        <c:axId val="1751408400"/>
      </c:lineChart>
      <c:dateAx>
        <c:axId val="175140881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408400"/>
        <c:crosses val="autoZero"/>
        <c:auto val="1"/>
        <c:lblOffset val="100"/>
        <c:baseTimeUnit val="months"/>
      </c:dateAx>
      <c:valAx>
        <c:axId val="175140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40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Tractor</a:t>
            </a:r>
            <a:r>
              <a:rPr lang="en-US" baseline="0"/>
              <a:t> Sales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4590551181102361E-2"/>
                  <c:y val="-0.10917578011081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'Tractor Unit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'Tractor Unit Sales'!$G$2:$G$61</c:f>
              <c:numCache>
                <c:formatCode>General</c:formatCode>
                <c:ptCount val="60"/>
                <c:pt idx="0">
                  <c:v>1592</c:v>
                </c:pt>
                <c:pt idx="1">
                  <c:v>1711</c:v>
                </c:pt>
                <c:pt idx="2">
                  <c:v>1810</c:v>
                </c:pt>
                <c:pt idx="3">
                  <c:v>1867</c:v>
                </c:pt>
                <c:pt idx="4">
                  <c:v>1779</c:v>
                </c:pt>
                <c:pt idx="5">
                  <c:v>1740</c:v>
                </c:pt>
                <c:pt idx="6">
                  <c:v>1826</c:v>
                </c:pt>
                <c:pt idx="7">
                  <c:v>1695</c:v>
                </c:pt>
                <c:pt idx="8">
                  <c:v>1681</c:v>
                </c:pt>
                <c:pt idx="9">
                  <c:v>1663</c:v>
                </c:pt>
                <c:pt idx="10">
                  <c:v>1825</c:v>
                </c:pt>
                <c:pt idx="11">
                  <c:v>1720</c:v>
                </c:pt>
                <c:pt idx="12">
                  <c:v>1761</c:v>
                </c:pt>
                <c:pt idx="13">
                  <c:v>2035</c:v>
                </c:pt>
                <c:pt idx="14">
                  <c:v>2142</c:v>
                </c:pt>
                <c:pt idx="15">
                  <c:v>2340</c:v>
                </c:pt>
                <c:pt idx="16">
                  <c:v>2280</c:v>
                </c:pt>
                <c:pt idx="17">
                  <c:v>2271</c:v>
                </c:pt>
                <c:pt idx="18">
                  <c:v>2154</c:v>
                </c:pt>
                <c:pt idx="19">
                  <c:v>2146</c:v>
                </c:pt>
                <c:pt idx="20">
                  <c:v>2085</c:v>
                </c:pt>
                <c:pt idx="21">
                  <c:v>1970</c:v>
                </c:pt>
                <c:pt idx="22">
                  <c:v>1936</c:v>
                </c:pt>
                <c:pt idx="23">
                  <c:v>1850</c:v>
                </c:pt>
                <c:pt idx="24">
                  <c:v>2000</c:v>
                </c:pt>
                <c:pt idx="25">
                  <c:v>2324</c:v>
                </c:pt>
                <c:pt idx="26">
                  <c:v>2510</c:v>
                </c:pt>
                <c:pt idx="27">
                  <c:v>2672</c:v>
                </c:pt>
                <c:pt idx="28">
                  <c:v>2780</c:v>
                </c:pt>
                <c:pt idx="29">
                  <c:v>2813</c:v>
                </c:pt>
                <c:pt idx="30">
                  <c:v>2716</c:v>
                </c:pt>
                <c:pt idx="31">
                  <c:v>2581</c:v>
                </c:pt>
                <c:pt idx="32">
                  <c:v>2476</c:v>
                </c:pt>
                <c:pt idx="33">
                  <c:v>2317</c:v>
                </c:pt>
                <c:pt idx="34">
                  <c:v>2324</c:v>
                </c:pt>
                <c:pt idx="35">
                  <c:v>2080</c:v>
                </c:pt>
                <c:pt idx="36">
                  <c:v>2202</c:v>
                </c:pt>
                <c:pt idx="37">
                  <c:v>2540</c:v>
                </c:pt>
                <c:pt idx="38">
                  <c:v>2867</c:v>
                </c:pt>
                <c:pt idx="39">
                  <c:v>3348</c:v>
                </c:pt>
                <c:pt idx="40">
                  <c:v>3550</c:v>
                </c:pt>
                <c:pt idx="41">
                  <c:v>3432</c:v>
                </c:pt>
                <c:pt idx="42">
                  <c:v>3400</c:v>
                </c:pt>
                <c:pt idx="43">
                  <c:v>3261</c:v>
                </c:pt>
                <c:pt idx="44">
                  <c:v>3209</c:v>
                </c:pt>
                <c:pt idx="45">
                  <c:v>3132</c:v>
                </c:pt>
                <c:pt idx="46">
                  <c:v>3027</c:v>
                </c:pt>
                <c:pt idx="47">
                  <c:v>2777</c:v>
                </c:pt>
                <c:pt idx="48">
                  <c:v>2821</c:v>
                </c:pt>
                <c:pt idx="49">
                  <c:v>3209</c:v>
                </c:pt>
                <c:pt idx="50">
                  <c:v>3553</c:v>
                </c:pt>
                <c:pt idx="51">
                  <c:v>3820</c:v>
                </c:pt>
                <c:pt idx="52">
                  <c:v>4133</c:v>
                </c:pt>
                <c:pt idx="53">
                  <c:v>4476</c:v>
                </c:pt>
                <c:pt idx="54">
                  <c:v>4436</c:v>
                </c:pt>
                <c:pt idx="55">
                  <c:v>4256</c:v>
                </c:pt>
                <c:pt idx="56">
                  <c:v>4067</c:v>
                </c:pt>
                <c:pt idx="57">
                  <c:v>3890</c:v>
                </c:pt>
                <c:pt idx="58">
                  <c:v>3816</c:v>
                </c:pt>
                <c:pt idx="59">
                  <c:v>3717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51-1745-8B73-97E1DEA43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5013951"/>
        <c:axId val="1705015839"/>
      </c:lineChart>
      <c:dateAx>
        <c:axId val="1705013951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015839"/>
        <c:crosses val="autoZero"/>
        <c:auto val="1"/>
        <c:lblOffset val="100"/>
        <c:baseTimeUnit val="months"/>
      </c:dateAx>
      <c:valAx>
        <c:axId val="170501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013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Industry Tractor Sales by Region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'Industry Tractor Total Sales'!$B$1</c:f>
              <c:strCache>
                <c:ptCount val="1"/>
                <c:pt idx="0">
                  <c:v>NA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'Industry Tractor Total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'Industry Tractor Total Sales'!$B$2:$B$61</c:f>
              <c:numCache>
                <c:formatCode>0</c:formatCode>
                <c:ptCount val="60"/>
                <c:pt idx="0">
                  <c:v>8142.8571428571422</c:v>
                </c:pt>
                <c:pt idx="1">
                  <c:v>8591.5492957746483</c:v>
                </c:pt>
                <c:pt idx="2">
                  <c:v>8630.1369863013697</c:v>
                </c:pt>
                <c:pt idx="3">
                  <c:v>8947.3684210526317</c:v>
                </c:pt>
                <c:pt idx="4">
                  <c:v>8441.5584415584417</c:v>
                </c:pt>
                <c:pt idx="5">
                  <c:v>7500</c:v>
                </c:pt>
                <c:pt idx="6">
                  <c:v>6144.5783132530123</c:v>
                </c:pt>
                <c:pt idx="7">
                  <c:v>5882.3529411764703</c:v>
                </c:pt>
                <c:pt idx="8">
                  <c:v>5595.2380952380954</c:v>
                </c:pt>
                <c:pt idx="9">
                  <c:v>5232.5581395348845</c:v>
                </c:pt>
                <c:pt idx="10">
                  <c:v>4494.3820224719102</c:v>
                </c:pt>
                <c:pt idx="11">
                  <c:v>3913.0434782608695</c:v>
                </c:pt>
                <c:pt idx="12">
                  <c:v>5937.5</c:v>
                </c:pt>
                <c:pt idx="13">
                  <c:v>6632.6530612244906</c:v>
                </c:pt>
                <c:pt idx="14">
                  <c:v>7326.7326732673273</c:v>
                </c:pt>
                <c:pt idx="15">
                  <c:v>8076.9230769230771</c:v>
                </c:pt>
                <c:pt idx="16">
                  <c:v>7830.1886792452833</c:v>
                </c:pt>
                <c:pt idx="17">
                  <c:v>7102.8037383177571</c:v>
                </c:pt>
                <c:pt idx="18">
                  <c:v>6238.5321100917436</c:v>
                </c:pt>
                <c:pt idx="19">
                  <c:v>6036.0360360360355</c:v>
                </c:pt>
                <c:pt idx="20">
                  <c:v>5663.716814159292</c:v>
                </c:pt>
                <c:pt idx="21">
                  <c:v>5344.8275862068958</c:v>
                </c:pt>
                <c:pt idx="22">
                  <c:v>4830.5084745762706</c:v>
                </c:pt>
                <c:pt idx="23">
                  <c:v>4453.7815126050418</c:v>
                </c:pt>
                <c:pt idx="24">
                  <c:v>5299.1452991452988</c:v>
                </c:pt>
                <c:pt idx="25">
                  <c:v>6528.9256198347121</c:v>
                </c:pt>
                <c:pt idx="26">
                  <c:v>7120</c:v>
                </c:pt>
                <c:pt idx="27">
                  <c:v>7619.0476190476193</c:v>
                </c:pt>
                <c:pt idx="28">
                  <c:v>8387.0967741935492</c:v>
                </c:pt>
                <c:pt idx="29">
                  <c:v>8110.2362204724404</c:v>
                </c:pt>
                <c:pt idx="30">
                  <c:v>7751.937984496124</c:v>
                </c:pt>
                <c:pt idx="31">
                  <c:v>6893.939393939394</c:v>
                </c:pt>
                <c:pt idx="32">
                  <c:v>6015.0375939849619</c:v>
                </c:pt>
                <c:pt idx="33">
                  <c:v>5367.6470588235288</c:v>
                </c:pt>
                <c:pt idx="34">
                  <c:v>4964.0287769784172</c:v>
                </c:pt>
                <c:pt idx="35">
                  <c:v>4444.4444444444443</c:v>
                </c:pt>
                <c:pt idx="36">
                  <c:v>5000</c:v>
                </c:pt>
                <c:pt idx="37">
                  <c:v>6283.7837837837833</c:v>
                </c:pt>
                <c:pt idx="38">
                  <c:v>7785.2348993288579</c:v>
                </c:pt>
                <c:pt idx="39">
                  <c:v>9934.21052631579</c:v>
                </c:pt>
                <c:pt idx="40">
                  <c:v>10645.161290322581</c:v>
                </c:pt>
                <c:pt idx="41">
                  <c:v>9491</c:v>
                </c:pt>
                <c:pt idx="42">
                  <c:v>9182.3899371069183</c:v>
                </c:pt>
                <c:pt idx="43">
                  <c:v>8527.6073619631898</c:v>
                </c:pt>
                <c:pt idx="44">
                  <c:v>8292.6829268292677</c:v>
                </c:pt>
                <c:pt idx="45">
                  <c:v>8220.8588957055217</c:v>
                </c:pt>
                <c:pt idx="46">
                  <c:v>7469.8795180722891</c:v>
                </c:pt>
                <c:pt idx="47">
                  <c:v>6508.8757396449701</c:v>
                </c:pt>
                <c:pt idx="48">
                  <c:v>7267.4418604651155</c:v>
                </c:pt>
                <c:pt idx="49">
                  <c:v>8806.8181818181802</c:v>
                </c:pt>
                <c:pt idx="50">
                  <c:v>10167.597765363127</c:v>
                </c:pt>
                <c:pt idx="51">
                  <c:v>11043.956043956043</c:v>
                </c:pt>
                <c:pt idx="52">
                  <c:v>12119.565217391304</c:v>
                </c:pt>
                <c:pt idx="53">
                  <c:v>13459.45945945946</c:v>
                </c:pt>
                <c:pt idx="54">
                  <c:v>13048.128342245989</c:v>
                </c:pt>
                <c:pt idx="55">
                  <c:v>12275.132275132275</c:v>
                </c:pt>
                <c:pt idx="56">
                  <c:v>11347.150259067357</c:v>
                </c:pt>
                <c:pt idx="57">
                  <c:v>10666.666666666666</c:v>
                </c:pt>
                <c:pt idx="58">
                  <c:v>10459.183673469388</c:v>
                </c:pt>
                <c:pt idx="59">
                  <c:v>10082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0F-4D00-9636-77B087E836AB}"/>
            </c:ext>
          </c:extLst>
        </c:ser>
        <c:ser>
          <c:idx val="1"/>
          <c:order val="1"/>
          <c:tx>
            <c:strRef>
              <c:f>'Industry Tractor Total Sales'!$C$1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'Industry Tractor Total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'Industry Tractor Total Sales'!$C$2:$C$61</c:f>
              <c:numCache>
                <c:formatCode>0</c:formatCode>
                <c:ptCount val="60"/>
                <c:pt idx="0">
                  <c:v>984</c:v>
                </c:pt>
                <c:pt idx="1">
                  <c:v>1050.5836575875487</c:v>
                </c:pt>
                <c:pt idx="2">
                  <c:v>1015.625</c:v>
                </c:pt>
                <c:pt idx="3">
                  <c:v>1026.6159695817489</c:v>
                </c:pt>
                <c:pt idx="4">
                  <c:v>1056.6037735849056</c:v>
                </c:pt>
                <c:pt idx="5">
                  <c:v>1018.8679245283018</c:v>
                </c:pt>
                <c:pt idx="6">
                  <c:v>977.4436090225563</c:v>
                </c:pt>
                <c:pt idx="7">
                  <c:v>1056.6037735849056</c:v>
                </c:pt>
                <c:pt idx="8">
                  <c:v>1086.1423220973782</c:v>
                </c:pt>
                <c:pt idx="9">
                  <c:v>1044.7761194029849</c:v>
                </c:pt>
                <c:pt idx="10">
                  <c:v>1078.0669144981412</c:v>
                </c:pt>
                <c:pt idx="11">
                  <c:v>1029.4117647058822</c:v>
                </c:pt>
                <c:pt idx="12">
                  <c:v>1172.1611721611721</c:v>
                </c:pt>
                <c:pt idx="13">
                  <c:v>1272.7272727272725</c:v>
                </c:pt>
                <c:pt idx="14">
                  <c:v>1423.3576642335765</c:v>
                </c:pt>
                <c:pt idx="15">
                  <c:v>1611.7216117216117</c:v>
                </c:pt>
                <c:pt idx="16">
                  <c:v>1727.9411764705881</c:v>
                </c:pt>
                <c:pt idx="17">
                  <c:v>1814.8148148148148</c:v>
                </c:pt>
                <c:pt idx="18">
                  <c:v>1776</c:v>
                </c:pt>
                <c:pt idx="19">
                  <c:v>1684.9816849816848</c:v>
                </c:pt>
                <c:pt idx="20">
                  <c:v>1678.8321167883209</c:v>
                </c:pt>
                <c:pt idx="21">
                  <c:v>1617.6470588235293</c:v>
                </c:pt>
                <c:pt idx="22">
                  <c:v>1563.6363636363635</c:v>
                </c:pt>
                <c:pt idx="23">
                  <c:v>1521.7391304347825</c:v>
                </c:pt>
                <c:pt idx="24">
                  <c:v>1834.5323741007192</c:v>
                </c:pt>
                <c:pt idx="25">
                  <c:v>2114.6953405017921</c:v>
                </c:pt>
                <c:pt idx="26">
                  <c:v>2202.1660649819491</c:v>
                </c:pt>
                <c:pt idx="27">
                  <c:v>2150.5376344086021</c:v>
                </c:pt>
                <c:pt idx="28">
                  <c:v>2214.2857142857142</c:v>
                </c:pt>
                <c:pt idx="29">
                  <c:v>2277.5800711743768</c:v>
                </c:pt>
                <c:pt idx="30">
                  <c:v>2099.6441281138787</c:v>
                </c:pt>
                <c:pt idx="31">
                  <c:v>2127.6595744680853</c:v>
                </c:pt>
                <c:pt idx="32">
                  <c:v>2367.4911660777389</c:v>
                </c:pt>
                <c:pt idx="33">
                  <c:v>2210.5263157894738</c:v>
                </c:pt>
                <c:pt idx="34">
                  <c:v>2482.5174825174827</c:v>
                </c:pt>
                <c:pt idx="35">
                  <c:v>1986.0627177700351</c:v>
                </c:pt>
                <c:pt idx="36">
                  <c:v>2256.9444444444448</c:v>
                </c:pt>
                <c:pt idx="37">
                  <c:v>2352.9411764705883</c:v>
                </c:pt>
                <c:pt idx="38">
                  <c:v>2456.7474048442909</c:v>
                </c:pt>
                <c:pt idx="39">
                  <c:v>2517.2413793103451</c:v>
                </c:pt>
                <c:pt idx="40">
                  <c:v>2611.6838487972509</c:v>
                </c:pt>
                <c:pt idx="41">
                  <c:v>2749.1408934707906</c:v>
                </c:pt>
                <c:pt idx="42">
                  <c:v>2886.5979381443299</c:v>
                </c:pt>
                <c:pt idx="43">
                  <c:v>2832.764505119454</c:v>
                </c:pt>
                <c:pt idx="44">
                  <c:v>2789.1156462585036</c:v>
                </c:pt>
                <c:pt idx="45">
                  <c:v>2764.5051194539251</c:v>
                </c:pt>
                <c:pt idx="46">
                  <c:v>2745.7627118644068</c:v>
                </c:pt>
                <c:pt idx="47">
                  <c:v>2533.7837837837837</c:v>
                </c:pt>
                <c:pt idx="48">
                  <c:v>2635.1351351351354</c:v>
                </c:pt>
                <c:pt idx="49">
                  <c:v>2702.7027027027029</c:v>
                </c:pt>
                <c:pt idx="50">
                  <c:v>2794.6127946127949</c:v>
                </c:pt>
                <c:pt idx="51">
                  <c:v>2996.6329966329968</c:v>
                </c:pt>
                <c:pt idx="52">
                  <c:v>3131.3131313131316</c:v>
                </c:pt>
                <c:pt idx="53">
                  <c:v>3310.8108108108108</c:v>
                </c:pt>
                <c:pt idx="54">
                  <c:v>3389.8305084745766</c:v>
                </c:pt>
                <c:pt idx="55">
                  <c:v>3277.0270270270271</c:v>
                </c:pt>
                <c:pt idx="56">
                  <c:v>3232.3232323232323</c:v>
                </c:pt>
                <c:pt idx="57">
                  <c:v>3131.3131313131316</c:v>
                </c:pt>
                <c:pt idx="58">
                  <c:v>3087.2483221476509</c:v>
                </c:pt>
                <c:pt idx="59">
                  <c:v>3030.3030303030305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0F-4D00-9636-77B087E836AB}"/>
            </c:ext>
          </c:extLst>
        </c:ser>
        <c:ser>
          <c:idx val="2"/>
          <c:order val="2"/>
          <c:tx>
            <c:strRef>
              <c:f>'Industry Tractor Total Sales'!$D$1</c:f>
              <c:strCache>
                <c:ptCount val="1"/>
                <c:pt idx="0">
                  <c:v>Eur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'Industry Tractor Total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'Industry Tractor Total Sales'!$D$2:$D$61</c:f>
              <c:numCache>
                <c:formatCode>0</c:formatCode>
                <c:ptCount val="60"/>
                <c:pt idx="0">
                  <c:v>5090.909090909091</c:v>
                </c:pt>
                <c:pt idx="1">
                  <c:v>5309.7345132743358</c:v>
                </c:pt>
                <c:pt idx="2">
                  <c:v>6071.4285714285716</c:v>
                </c:pt>
                <c:pt idx="3">
                  <c:v>5855.8558558558561</c:v>
                </c:pt>
                <c:pt idx="4">
                  <c:v>5272.727272727273</c:v>
                </c:pt>
                <c:pt idx="5">
                  <c:v>5315.3153153153153</c:v>
                </c:pt>
                <c:pt idx="6">
                  <c:v>7169.8113207547176</c:v>
                </c:pt>
                <c:pt idx="7">
                  <c:v>5925.9259259259261</c:v>
                </c:pt>
                <c:pt idx="8">
                  <c:v>6074.7663551401874</c:v>
                </c:pt>
                <c:pt idx="9">
                  <c:v>6320.7547169811323</c:v>
                </c:pt>
                <c:pt idx="10">
                  <c:v>8380.9523809523816</c:v>
                </c:pt>
                <c:pt idx="11">
                  <c:v>7943.9252336448599</c:v>
                </c:pt>
                <c:pt idx="12">
                  <c:v>5688.0733944954127</c:v>
                </c:pt>
                <c:pt idx="13">
                  <c:v>7037.0370370370374</c:v>
                </c:pt>
                <c:pt idx="14">
                  <c:v>6981.132075471698</c:v>
                </c:pt>
                <c:pt idx="15">
                  <c:v>7500</c:v>
                </c:pt>
                <c:pt idx="16">
                  <c:v>6571.4285714285716</c:v>
                </c:pt>
                <c:pt idx="17">
                  <c:v>6990.2912621359228</c:v>
                </c:pt>
                <c:pt idx="18">
                  <c:v>6666.666666666667</c:v>
                </c:pt>
                <c:pt idx="19">
                  <c:v>6761.9047619047624</c:v>
                </c:pt>
                <c:pt idx="20">
                  <c:v>6634.6153846153848</c:v>
                </c:pt>
                <c:pt idx="21">
                  <c:v>6310.6796116504856</c:v>
                </c:pt>
                <c:pt idx="22">
                  <c:v>6476.1904761904761</c:v>
                </c:pt>
                <c:pt idx="23">
                  <c:v>6250</c:v>
                </c:pt>
                <c:pt idx="24">
                  <c:v>5922.3300970873788</c:v>
                </c:pt>
                <c:pt idx="25">
                  <c:v>6666.666666666667</c:v>
                </c:pt>
                <c:pt idx="26">
                  <c:v>7227.7227722772286</c:v>
                </c:pt>
                <c:pt idx="27">
                  <c:v>8200</c:v>
                </c:pt>
                <c:pt idx="28">
                  <c:v>7941.176470588236</c:v>
                </c:pt>
                <c:pt idx="29">
                  <c:v>7920.7920792079212</c:v>
                </c:pt>
                <c:pt idx="30">
                  <c:v>7676.7676767676767</c:v>
                </c:pt>
                <c:pt idx="31">
                  <c:v>7200</c:v>
                </c:pt>
                <c:pt idx="32">
                  <c:v>6734.6938775510198</c:v>
                </c:pt>
                <c:pt idx="33">
                  <c:v>6494.8453608247419</c:v>
                </c:pt>
                <c:pt idx="34">
                  <c:v>6060.6060606060601</c:v>
                </c:pt>
                <c:pt idx="35">
                  <c:v>5816.3265306122448</c:v>
                </c:pt>
                <c:pt idx="36">
                  <c:v>5050.5050505050503</c:v>
                </c:pt>
                <c:pt idx="37">
                  <c:v>6082.4742268041236</c:v>
                </c:pt>
                <c:pt idx="38">
                  <c:v>6326.5306122448974</c:v>
                </c:pt>
                <c:pt idx="39">
                  <c:v>7604.1666666666661</c:v>
                </c:pt>
                <c:pt idx="40">
                  <c:v>7789.4736842105258</c:v>
                </c:pt>
                <c:pt idx="41">
                  <c:v>7346.9387755102034</c:v>
                </c:pt>
                <c:pt idx="42">
                  <c:v>6979.166666666667</c:v>
                </c:pt>
                <c:pt idx="43">
                  <c:v>6489.3617021276596</c:v>
                </c:pt>
                <c:pt idx="44">
                  <c:v>6315.7894736842109</c:v>
                </c:pt>
                <c:pt idx="45">
                  <c:v>5833.333333333333</c:v>
                </c:pt>
                <c:pt idx="46">
                  <c:v>5789.4736842105267</c:v>
                </c:pt>
                <c:pt idx="47">
                  <c:v>5591.3978494623652</c:v>
                </c:pt>
                <c:pt idx="48">
                  <c:v>5106.3829787234044</c:v>
                </c:pt>
                <c:pt idx="49">
                  <c:v>5473.6842105263158</c:v>
                </c:pt>
                <c:pt idx="50">
                  <c:v>6021.5053763440865</c:v>
                </c:pt>
                <c:pt idx="51">
                  <c:v>6063.8297872340427</c:v>
                </c:pt>
                <c:pt idx="52">
                  <c:v>6344.0860215053763</c:v>
                </c:pt>
                <c:pt idx="53">
                  <c:v>6593.4065934065939</c:v>
                </c:pt>
                <c:pt idx="54">
                  <c:v>6304.347826086957</c:v>
                </c:pt>
                <c:pt idx="55">
                  <c:v>6063.8297872340427</c:v>
                </c:pt>
                <c:pt idx="56">
                  <c:v>5789.4736842105267</c:v>
                </c:pt>
                <c:pt idx="57">
                  <c:v>5698.9247311827958</c:v>
                </c:pt>
                <c:pt idx="58">
                  <c:v>5604.3956043956041</c:v>
                </c:pt>
                <c:pt idx="59">
                  <c:v>5444.4444444444443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0F-4D00-9636-77B087E836AB}"/>
            </c:ext>
          </c:extLst>
        </c:ser>
        <c:ser>
          <c:idx val="3"/>
          <c:order val="3"/>
          <c:tx>
            <c:strRef>
              <c:f>'Industry Tractor Total Sales'!$E$1</c:f>
              <c:strCache>
                <c:ptCount val="1"/>
                <c:pt idx="0">
                  <c:v>Pac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'Industry Tractor Total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'Industry Tractor Total Sales'!$E$2:$E$61</c:f>
              <c:numCache>
                <c:formatCode>0</c:formatCode>
                <c:ptCount val="60"/>
                <c:pt idx="0">
                  <c:v>987</c:v>
                </c:pt>
                <c:pt idx="1">
                  <c:v>1090.0473933649289</c:v>
                </c:pt>
                <c:pt idx="2">
                  <c:v>1126.7605633802816</c:v>
                </c:pt>
                <c:pt idx="3">
                  <c:v>1209.3023255813953</c:v>
                </c:pt>
                <c:pt idx="4">
                  <c:v>1220.6572769953052</c:v>
                </c:pt>
                <c:pt idx="5">
                  <c:v>1327.0142180094788</c:v>
                </c:pt>
                <c:pt idx="6">
                  <c:v>1324.2009132420092</c:v>
                </c:pt>
                <c:pt idx="7">
                  <c:v>1267.605633802817</c:v>
                </c:pt>
                <c:pt idx="8">
                  <c:v>1209.3023255813953</c:v>
                </c:pt>
                <c:pt idx="9">
                  <c:v>1168.2242990654206</c:v>
                </c:pt>
                <c:pt idx="10">
                  <c:v>1126.7605633802816</c:v>
                </c:pt>
                <c:pt idx="11">
                  <c:v>1084.9056603773586</c:v>
                </c:pt>
                <c:pt idx="12">
                  <c:v>1184.8341232227488</c:v>
                </c:pt>
                <c:pt idx="13">
                  <c:v>1285.7142857142858</c:v>
                </c:pt>
                <c:pt idx="14">
                  <c:v>1285.7142857142858</c:v>
                </c:pt>
                <c:pt idx="15">
                  <c:v>1346.1538461538462</c:v>
                </c:pt>
                <c:pt idx="16">
                  <c:v>1387.5598086124403</c:v>
                </c:pt>
                <c:pt idx="17">
                  <c:v>1449.2753623188407</c:v>
                </c:pt>
                <c:pt idx="18">
                  <c:v>1490.3846153846155</c:v>
                </c:pt>
                <c:pt idx="19">
                  <c:v>1449.2753623188407</c:v>
                </c:pt>
                <c:pt idx="20">
                  <c:v>1394.2307692307693</c:v>
                </c:pt>
                <c:pt idx="21">
                  <c:v>1256.0386473429953</c:v>
                </c:pt>
                <c:pt idx="22">
                  <c:v>1213.5922330097087</c:v>
                </c:pt>
                <c:pt idx="23">
                  <c:v>1170.7317073170732</c:v>
                </c:pt>
                <c:pt idx="24">
                  <c:v>1207.7294685990339</c:v>
                </c:pt>
                <c:pt idx="25">
                  <c:v>1213.5922330097087</c:v>
                </c:pt>
                <c:pt idx="26">
                  <c:v>1256.0386473429953</c:v>
                </c:pt>
                <c:pt idx="27">
                  <c:v>1310.6796116504854</c:v>
                </c:pt>
                <c:pt idx="28">
                  <c:v>1414.6341463414635</c:v>
                </c:pt>
                <c:pt idx="29">
                  <c:v>1519.607843137255</c:v>
                </c:pt>
                <c:pt idx="30">
                  <c:v>1674.8768472906402</c:v>
                </c:pt>
                <c:pt idx="31">
                  <c:v>1584.158415841584</c:v>
                </c:pt>
                <c:pt idx="32">
                  <c:v>1527.0935960591132</c:v>
                </c:pt>
                <c:pt idx="33">
                  <c:v>1421.5686274509806</c:v>
                </c:pt>
                <c:pt idx="34">
                  <c:v>1365.8536585365855</c:v>
                </c:pt>
                <c:pt idx="35">
                  <c:v>1262.1359223300972</c:v>
                </c:pt>
                <c:pt idx="36">
                  <c:v>1372.5490196078433</c:v>
                </c:pt>
                <c:pt idx="37">
                  <c:v>1435.6435643564355</c:v>
                </c:pt>
                <c:pt idx="38">
                  <c:v>1477.8325123152708</c:v>
                </c:pt>
                <c:pt idx="39">
                  <c:v>1512.1951219512196</c:v>
                </c:pt>
                <c:pt idx="40">
                  <c:v>1641.7910447761194</c:v>
                </c:pt>
                <c:pt idx="41">
                  <c:v>1666.6666666666667</c:v>
                </c:pt>
                <c:pt idx="42">
                  <c:v>1732.6732673267325</c:v>
                </c:pt>
                <c:pt idx="43">
                  <c:v>1700</c:v>
                </c:pt>
                <c:pt idx="44">
                  <c:v>1641.7910447761194</c:v>
                </c:pt>
                <c:pt idx="45">
                  <c:v>1576.3546798029556</c:v>
                </c:pt>
                <c:pt idx="46">
                  <c:v>1492.5373134328358</c:v>
                </c:pt>
                <c:pt idx="47">
                  <c:v>1450</c:v>
                </c:pt>
                <c:pt idx="48">
                  <c:v>1010.10101010101</c:v>
                </c:pt>
                <c:pt idx="49">
                  <c:v>1044.7761194029849</c:v>
                </c:pt>
                <c:pt idx="50">
                  <c:v>1105.5276381909548</c:v>
                </c:pt>
                <c:pt idx="51">
                  <c:v>1150</c:v>
                </c:pt>
                <c:pt idx="52">
                  <c:v>1243.7810945273632</c:v>
                </c:pt>
                <c:pt idx="53">
                  <c:v>1356.7839195979898</c:v>
                </c:pt>
                <c:pt idx="54">
                  <c:v>1421.3197969543146</c:v>
                </c:pt>
                <c:pt idx="55">
                  <c:v>1262.6262626262626</c:v>
                </c:pt>
                <c:pt idx="56">
                  <c:v>1173.4693877551019</c:v>
                </c:pt>
                <c:pt idx="57">
                  <c:v>1128.2051282051282</c:v>
                </c:pt>
                <c:pt idx="58">
                  <c:v>974.35897435897436</c:v>
                </c:pt>
                <c:pt idx="59">
                  <c:v>979.38144329896909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0F-4D00-9636-77B087E836AB}"/>
            </c:ext>
          </c:extLst>
        </c:ser>
        <c:ser>
          <c:idx val="4"/>
          <c:order val="4"/>
          <c:tx>
            <c:strRef>
              <c:f>'Industry Tractor Total Sales'!$F$1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'Industry Tractor Total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'Industry Tractor Total Sales'!$F$2:$F$61</c:f>
              <c:numCache>
                <c:formatCode>0</c:formatCode>
                <c:ptCount val="60"/>
                <c:pt idx="0">
                  <c:v>278</c:v>
                </c:pt>
                <c:pt idx="1">
                  <c:v>283</c:v>
                </c:pt>
                <c:pt idx="2">
                  <c:v>285</c:v>
                </c:pt>
                <c:pt idx="3">
                  <c:v>288</c:v>
                </c:pt>
                <c:pt idx="4">
                  <c:v>286</c:v>
                </c:pt>
                <c:pt idx="5">
                  <c:v>287</c:v>
                </c:pt>
                <c:pt idx="6">
                  <c:v>289</c:v>
                </c:pt>
                <c:pt idx="7">
                  <c:v>290</c:v>
                </c:pt>
                <c:pt idx="8">
                  <c:v>293</c:v>
                </c:pt>
                <c:pt idx="9">
                  <c:v>295</c:v>
                </c:pt>
                <c:pt idx="10">
                  <c:v>298</c:v>
                </c:pt>
                <c:pt idx="11">
                  <c:v>301</c:v>
                </c:pt>
                <c:pt idx="12">
                  <c:v>306</c:v>
                </c:pt>
                <c:pt idx="13">
                  <c:v>302</c:v>
                </c:pt>
                <c:pt idx="14">
                  <c:v>303</c:v>
                </c:pt>
                <c:pt idx="15">
                  <c:v>307</c:v>
                </c:pt>
                <c:pt idx="16">
                  <c:v>309</c:v>
                </c:pt>
                <c:pt idx="17">
                  <c:v>312</c:v>
                </c:pt>
                <c:pt idx="18">
                  <c:v>315</c:v>
                </c:pt>
                <c:pt idx="19">
                  <c:v>318</c:v>
                </c:pt>
                <c:pt idx="20">
                  <c:v>321</c:v>
                </c:pt>
                <c:pt idx="21">
                  <c:v>315</c:v>
                </c:pt>
                <c:pt idx="22">
                  <c:v>318</c:v>
                </c:pt>
                <c:pt idx="23">
                  <c:v>320</c:v>
                </c:pt>
                <c:pt idx="24">
                  <c:v>333.33333333333337</c:v>
                </c:pt>
                <c:pt idx="25">
                  <c:v>312.5</c:v>
                </c:pt>
                <c:pt idx="26">
                  <c:v>606.06060606060601</c:v>
                </c:pt>
                <c:pt idx="27">
                  <c:v>571.42857142857133</c:v>
                </c:pt>
                <c:pt idx="28">
                  <c:v>555.55555555555554</c:v>
                </c:pt>
                <c:pt idx="29">
                  <c:v>526.31578947368428</c:v>
                </c:pt>
                <c:pt idx="30">
                  <c:v>512.82051282051282</c:v>
                </c:pt>
                <c:pt idx="31">
                  <c:v>769.23076923076928</c:v>
                </c:pt>
                <c:pt idx="32">
                  <c:v>750</c:v>
                </c:pt>
                <c:pt idx="33">
                  <c:v>731.70731707317077</c:v>
                </c:pt>
                <c:pt idx="34">
                  <c:v>714.28571428571433</c:v>
                </c:pt>
                <c:pt idx="35">
                  <c:v>697.67441860465124</c:v>
                </c:pt>
                <c:pt idx="36">
                  <c:v>714.28571428571433</c:v>
                </c:pt>
                <c:pt idx="37">
                  <c:v>1063</c:v>
                </c:pt>
                <c:pt idx="38">
                  <c:v>1264</c:v>
                </c:pt>
                <c:pt idx="39">
                  <c:v>1333.3333333333335</c:v>
                </c:pt>
                <c:pt idx="40">
                  <c:v>1555.5555555555557</c:v>
                </c:pt>
                <c:pt idx="41">
                  <c:v>1739.1304347826087</c:v>
                </c:pt>
                <c:pt idx="42">
                  <c:v>1702.127659574468</c:v>
                </c:pt>
                <c:pt idx="43">
                  <c:v>1914.8936170212767</c:v>
                </c:pt>
                <c:pt idx="44">
                  <c:v>2083.3333333333335</c:v>
                </c:pt>
                <c:pt idx="45">
                  <c:v>2127.6595744680849</c:v>
                </c:pt>
                <c:pt idx="46">
                  <c:v>2291.6666666666665</c:v>
                </c:pt>
                <c:pt idx="47">
                  <c:v>2244.8979591836733</c:v>
                </c:pt>
                <c:pt idx="48">
                  <c:v>2291.6666666666665</c:v>
                </c:pt>
                <c:pt idx="49">
                  <c:v>2448.9795918367345</c:v>
                </c:pt>
                <c:pt idx="50">
                  <c:v>2400</c:v>
                </c:pt>
                <c:pt idx="51">
                  <c:v>2352.9411764705883</c:v>
                </c:pt>
                <c:pt idx="52">
                  <c:v>2600</c:v>
                </c:pt>
                <c:pt idx="53">
                  <c:v>2653.0612244897957</c:v>
                </c:pt>
                <c:pt idx="54">
                  <c:v>2600</c:v>
                </c:pt>
                <c:pt idx="55">
                  <c:v>2549.0196078431372</c:v>
                </c:pt>
                <c:pt idx="56">
                  <c:v>2452.8301886792451</c:v>
                </c:pt>
                <c:pt idx="57">
                  <c:v>2517</c:v>
                </c:pt>
                <c:pt idx="58">
                  <c:v>2541</c:v>
                </c:pt>
                <c:pt idx="59">
                  <c:v>2452.8301886792451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0F-4D00-9636-77B087E83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6186080"/>
        <c:axId val="1386192320"/>
      </c:lineChart>
      <c:dateAx>
        <c:axId val="138618608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192320"/>
        <c:crosses val="autoZero"/>
        <c:auto val="1"/>
        <c:lblOffset val="100"/>
        <c:baseTimeUnit val="months"/>
        <c:majorUnit val="4"/>
        <c:majorTimeUnit val="months"/>
      </c:dateAx>
      <c:valAx>
        <c:axId val="138619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18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Industry Tractor Sales Ratio by Region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'Industry Tractor Total Sales'!$B$1</c:f>
              <c:strCache>
                <c:ptCount val="1"/>
                <c:pt idx="0">
                  <c:v>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'Industry Tractor Total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'Industry Tractor Total Sales'!$B$2:$B$61</c:f>
              <c:numCache>
                <c:formatCode>0</c:formatCode>
                <c:ptCount val="60"/>
                <c:pt idx="0">
                  <c:v>8142.8571428571422</c:v>
                </c:pt>
                <c:pt idx="1">
                  <c:v>8591.5492957746483</c:v>
                </c:pt>
                <c:pt idx="2">
                  <c:v>8630.1369863013697</c:v>
                </c:pt>
                <c:pt idx="3">
                  <c:v>8947.3684210526317</c:v>
                </c:pt>
                <c:pt idx="4">
                  <c:v>8441.5584415584417</c:v>
                </c:pt>
                <c:pt idx="5">
                  <c:v>7500</c:v>
                </c:pt>
                <c:pt idx="6">
                  <c:v>6144.5783132530123</c:v>
                </c:pt>
                <c:pt idx="7">
                  <c:v>5882.3529411764703</c:v>
                </c:pt>
                <c:pt idx="8">
                  <c:v>5595.2380952380954</c:v>
                </c:pt>
                <c:pt idx="9">
                  <c:v>5232.5581395348845</c:v>
                </c:pt>
                <c:pt idx="10">
                  <c:v>4494.3820224719102</c:v>
                </c:pt>
                <c:pt idx="11">
                  <c:v>3913.0434782608695</c:v>
                </c:pt>
                <c:pt idx="12">
                  <c:v>5937.5</c:v>
                </c:pt>
                <c:pt idx="13">
                  <c:v>6632.6530612244906</c:v>
                </c:pt>
                <c:pt idx="14">
                  <c:v>7326.7326732673273</c:v>
                </c:pt>
                <c:pt idx="15">
                  <c:v>8076.9230769230771</c:v>
                </c:pt>
                <c:pt idx="16">
                  <c:v>7830.1886792452833</c:v>
                </c:pt>
                <c:pt idx="17">
                  <c:v>7102.8037383177571</c:v>
                </c:pt>
                <c:pt idx="18">
                  <c:v>6238.5321100917436</c:v>
                </c:pt>
                <c:pt idx="19">
                  <c:v>6036.0360360360355</c:v>
                </c:pt>
                <c:pt idx="20">
                  <c:v>5663.716814159292</c:v>
                </c:pt>
                <c:pt idx="21">
                  <c:v>5344.8275862068958</c:v>
                </c:pt>
                <c:pt idx="22">
                  <c:v>4830.5084745762706</c:v>
                </c:pt>
                <c:pt idx="23">
                  <c:v>4453.7815126050418</c:v>
                </c:pt>
                <c:pt idx="24">
                  <c:v>5299.1452991452988</c:v>
                </c:pt>
                <c:pt idx="25">
                  <c:v>6528.9256198347121</c:v>
                </c:pt>
                <c:pt idx="26">
                  <c:v>7120</c:v>
                </c:pt>
                <c:pt idx="27">
                  <c:v>7619.0476190476193</c:v>
                </c:pt>
                <c:pt idx="28">
                  <c:v>8387.0967741935492</c:v>
                </c:pt>
                <c:pt idx="29">
                  <c:v>8110.2362204724404</c:v>
                </c:pt>
                <c:pt idx="30">
                  <c:v>7751.937984496124</c:v>
                </c:pt>
                <c:pt idx="31">
                  <c:v>6893.939393939394</c:v>
                </c:pt>
                <c:pt idx="32">
                  <c:v>6015.0375939849619</c:v>
                </c:pt>
                <c:pt idx="33">
                  <c:v>5367.6470588235288</c:v>
                </c:pt>
                <c:pt idx="34">
                  <c:v>4964.0287769784172</c:v>
                </c:pt>
                <c:pt idx="35">
                  <c:v>4444.4444444444443</c:v>
                </c:pt>
                <c:pt idx="36">
                  <c:v>5000</c:v>
                </c:pt>
                <c:pt idx="37">
                  <c:v>6283.7837837837833</c:v>
                </c:pt>
                <c:pt idx="38">
                  <c:v>7785.2348993288579</c:v>
                </c:pt>
                <c:pt idx="39">
                  <c:v>9934.21052631579</c:v>
                </c:pt>
                <c:pt idx="40">
                  <c:v>10645.161290322581</c:v>
                </c:pt>
                <c:pt idx="41">
                  <c:v>9491</c:v>
                </c:pt>
                <c:pt idx="42">
                  <c:v>9182.3899371069183</c:v>
                </c:pt>
                <c:pt idx="43">
                  <c:v>8527.6073619631898</c:v>
                </c:pt>
                <c:pt idx="44">
                  <c:v>8292.6829268292677</c:v>
                </c:pt>
                <c:pt idx="45">
                  <c:v>8220.8588957055217</c:v>
                </c:pt>
                <c:pt idx="46">
                  <c:v>7469.8795180722891</c:v>
                </c:pt>
                <c:pt idx="47">
                  <c:v>6508.8757396449701</c:v>
                </c:pt>
                <c:pt idx="48">
                  <c:v>7267.4418604651155</c:v>
                </c:pt>
                <c:pt idx="49">
                  <c:v>8806.8181818181802</c:v>
                </c:pt>
                <c:pt idx="50">
                  <c:v>10167.597765363127</c:v>
                </c:pt>
                <c:pt idx="51">
                  <c:v>11043.956043956043</c:v>
                </c:pt>
                <c:pt idx="52">
                  <c:v>12119.565217391304</c:v>
                </c:pt>
                <c:pt idx="53">
                  <c:v>13459.45945945946</c:v>
                </c:pt>
                <c:pt idx="54">
                  <c:v>13048.128342245989</c:v>
                </c:pt>
                <c:pt idx="55">
                  <c:v>12275.132275132275</c:v>
                </c:pt>
                <c:pt idx="56">
                  <c:v>11347.150259067357</c:v>
                </c:pt>
                <c:pt idx="57">
                  <c:v>10666.666666666666</c:v>
                </c:pt>
                <c:pt idx="58">
                  <c:v>10459.183673469388</c:v>
                </c:pt>
                <c:pt idx="59">
                  <c:v>10082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3-4550-9E9A-FE62737876E3}"/>
            </c:ext>
          </c:extLst>
        </c:ser>
        <c:ser>
          <c:idx val="1"/>
          <c:order val="1"/>
          <c:tx>
            <c:strRef>
              <c:f>'Industry Tractor Total Sales'!$C$1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'Industry Tractor Total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'Industry Tractor Total Sales'!$C$2:$C$61</c:f>
              <c:numCache>
                <c:formatCode>0</c:formatCode>
                <c:ptCount val="60"/>
                <c:pt idx="0">
                  <c:v>984</c:v>
                </c:pt>
                <c:pt idx="1">
                  <c:v>1050.5836575875487</c:v>
                </c:pt>
                <c:pt idx="2">
                  <c:v>1015.625</c:v>
                </c:pt>
                <c:pt idx="3">
                  <c:v>1026.6159695817489</c:v>
                </c:pt>
                <c:pt idx="4">
                  <c:v>1056.6037735849056</c:v>
                </c:pt>
                <c:pt idx="5">
                  <c:v>1018.8679245283018</c:v>
                </c:pt>
                <c:pt idx="6">
                  <c:v>977.4436090225563</c:v>
                </c:pt>
                <c:pt idx="7">
                  <c:v>1056.6037735849056</c:v>
                </c:pt>
                <c:pt idx="8">
                  <c:v>1086.1423220973782</c:v>
                </c:pt>
                <c:pt idx="9">
                  <c:v>1044.7761194029849</c:v>
                </c:pt>
                <c:pt idx="10">
                  <c:v>1078.0669144981412</c:v>
                </c:pt>
                <c:pt idx="11">
                  <c:v>1029.4117647058822</c:v>
                </c:pt>
                <c:pt idx="12">
                  <c:v>1172.1611721611721</c:v>
                </c:pt>
                <c:pt idx="13">
                  <c:v>1272.7272727272725</c:v>
                </c:pt>
                <c:pt idx="14">
                  <c:v>1423.3576642335765</c:v>
                </c:pt>
                <c:pt idx="15">
                  <c:v>1611.7216117216117</c:v>
                </c:pt>
                <c:pt idx="16">
                  <c:v>1727.9411764705881</c:v>
                </c:pt>
                <c:pt idx="17">
                  <c:v>1814.8148148148148</c:v>
                </c:pt>
                <c:pt idx="18">
                  <c:v>1776</c:v>
                </c:pt>
                <c:pt idx="19">
                  <c:v>1684.9816849816848</c:v>
                </c:pt>
                <c:pt idx="20">
                  <c:v>1678.8321167883209</c:v>
                </c:pt>
                <c:pt idx="21">
                  <c:v>1617.6470588235293</c:v>
                </c:pt>
                <c:pt idx="22">
                  <c:v>1563.6363636363635</c:v>
                </c:pt>
                <c:pt idx="23">
                  <c:v>1521.7391304347825</c:v>
                </c:pt>
                <c:pt idx="24">
                  <c:v>1834.5323741007192</c:v>
                </c:pt>
                <c:pt idx="25">
                  <c:v>2114.6953405017921</c:v>
                </c:pt>
                <c:pt idx="26">
                  <c:v>2202.1660649819491</c:v>
                </c:pt>
                <c:pt idx="27">
                  <c:v>2150.5376344086021</c:v>
                </c:pt>
                <c:pt idx="28">
                  <c:v>2214.2857142857142</c:v>
                </c:pt>
                <c:pt idx="29">
                  <c:v>2277.5800711743768</c:v>
                </c:pt>
                <c:pt idx="30">
                  <c:v>2099.6441281138787</c:v>
                </c:pt>
                <c:pt idx="31">
                  <c:v>2127.6595744680853</c:v>
                </c:pt>
                <c:pt idx="32">
                  <c:v>2367.4911660777389</c:v>
                </c:pt>
                <c:pt idx="33">
                  <c:v>2210.5263157894738</c:v>
                </c:pt>
                <c:pt idx="34">
                  <c:v>2482.5174825174827</c:v>
                </c:pt>
                <c:pt idx="35">
                  <c:v>1986.0627177700351</c:v>
                </c:pt>
                <c:pt idx="36">
                  <c:v>2256.9444444444448</c:v>
                </c:pt>
                <c:pt idx="37">
                  <c:v>2352.9411764705883</c:v>
                </c:pt>
                <c:pt idx="38">
                  <c:v>2456.7474048442909</c:v>
                </c:pt>
                <c:pt idx="39">
                  <c:v>2517.2413793103451</c:v>
                </c:pt>
                <c:pt idx="40">
                  <c:v>2611.6838487972509</c:v>
                </c:pt>
                <c:pt idx="41">
                  <c:v>2749.1408934707906</c:v>
                </c:pt>
                <c:pt idx="42">
                  <c:v>2886.5979381443299</c:v>
                </c:pt>
                <c:pt idx="43">
                  <c:v>2832.764505119454</c:v>
                </c:pt>
                <c:pt idx="44">
                  <c:v>2789.1156462585036</c:v>
                </c:pt>
                <c:pt idx="45">
                  <c:v>2764.5051194539251</c:v>
                </c:pt>
                <c:pt idx="46">
                  <c:v>2745.7627118644068</c:v>
                </c:pt>
                <c:pt idx="47">
                  <c:v>2533.7837837837837</c:v>
                </c:pt>
                <c:pt idx="48">
                  <c:v>2635.1351351351354</c:v>
                </c:pt>
                <c:pt idx="49">
                  <c:v>2702.7027027027029</c:v>
                </c:pt>
                <c:pt idx="50">
                  <c:v>2794.6127946127949</c:v>
                </c:pt>
                <c:pt idx="51">
                  <c:v>2996.6329966329968</c:v>
                </c:pt>
                <c:pt idx="52">
                  <c:v>3131.3131313131316</c:v>
                </c:pt>
                <c:pt idx="53">
                  <c:v>3310.8108108108108</c:v>
                </c:pt>
                <c:pt idx="54">
                  <c:v>3389.8305084745766</c:v>
                </c:pt>
                <c:pt idx="55">
                  <c:v>3277.0270270270271</c:v>
                </c:pt>
                <c:pt idx="56">
                  <c:v>3232.3232323232323</c:v>
                </c:pt>
                <c:pt idx="57">
                  <c:v>3131.3131313131316</c:v>
                </c:pt>
                <c:pt idx="58">
                  <c:v>3087.2483221476509</c:v>
                </c:pt>
                <c:pt idx="59">
                  <c:v>3030.3030303030305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3-4550-9E9A-FE62737876E3}"/>
            </c:ext>
          </c:extLst>
        </c:ser>
        <c:ser>
          <c:idx val="2"/>
          <c:order val="2"/>
          <c:tx>
            <c:strRef>
              <c:f>'Industry Tractor Total Sales'!$D$1</c:f>
              <c:strCache>
                <c:ptCount val="1"/>
                <c:pt idx="0">
                  <c:v>Eur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'Industry Tractor Total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'Industry Tractor Total Sales'!$D$2:$D$61</c:f>
              <c:numCache>
                <c:formatCode>0</c:formatCode>
                <c:ptCount val="60"/>
                <c:pt idx="0">
                  <c:v>5090.909090909091</c:v>
                </c:pt>
                <c:pt idx="1">
                  <c:v>5309.7345132743358</c:v>
                </c:pt>
                <c:pt idx="2">
                  <c:v>6071.4285714285716</c:v>
                </c:pt>
                <c:pt idx="3">
                  <c:v>5855.8558558558561</c:v>
                </c:pt>
                <c:pt idx="4">
                  <c:v>5272.727272727273</c:v>
                </c:pt>
                <c:pt idx="5">
                  <c:v>5315.3153153153153</c:v>
                </c:pt>
                <c:pt idx="6">
                  <c:v>7169.8113207547176</c:v>
                </c:pt>
                <c:pt idx="7">
                  <c:v>5925.9259259259261</c:v>
                </c:pt>
                <c:pt idx="8">
                  <c:v>6074.7663551401874</c:v>
                </c:pt>
                <c:pt idx="9">
                  <c:v>6320.7547169811323</c:v>
                </c:pt>
                <c:pt idx="10">
                  <c:v>8380.9523809523816</c:v>
                </c:pt>
                <c:pt idx="11">
                  <c:v>7943.9252336448599</c:v>
                </c:pt>
                <c:pt idx="12">
                  <c:v>5688.0733944954127</c:v>
                </c:pt>
                <c:pt idx="13">
                  <c:v>7037.0370370370374</c:v>
                </c:pt>
                <c:pt idx="14">
                  <c:v>6981.132075471698</c:v>
                </c:pt>
                <c:pt idx="15">
                  <c:v>7500</c:v>
                </c:pt>
                <c:pt idx="16">
                  <c:v>6571.4285714285716</c:v>
                </c:pt>
                <c:pt idx="17">
                  <c:v>6990.2912621359228</c:v>
                </c:pt>
                <c:pt idx="18">
                  <c:v>6666.666666666667</c:v>
                </c:pt>
                <c:pt idx="19">
                  <c:v>6761.9047619047624</c:v>
                </c:pt>
                <c:pt idx="20">
                  <c:v>6634.6153846153848</c:v>
                </c:pt>
                <c:pt idx="21">
                  <c:v>6310.6796116504856</c:v>
                </c:pt>
                <c:pt idx="22">
                  <c:v>6476.1904761904761</c:v>
                </c:pt>
                <c:pt idx="23">
                  <c:v>6250</c:v>
                </c:pt>
                <c:pt idx="24">
                  <c:v>5922.3300970873788</c:v>
                </c:pt>
                <c:pt idx="25">
                  <c:v>6666.666666666667</c:v>
                </c:pt>
                <c:pt idx="26">
                  <c:v>7227.7227722772286</c:v>
                </c:pt>
                <c:pt idx="27">
                  <c:v>8200</c:v>
                </c:pt>
                <c:pt idx="28">
                  <c:v>7941.176470588236</c:v>
                </c:pt>
                <c:pt idx="29">
                  <c:v>7920.7920792079212</c:v>
                </c:pt>
                <c:pt idx="30">
                  <c:v>7676.7676767676767</c:v>
                </c:pt>
                <c:pt idx="31">
                  <c:v>7200</c:v>
                </c:pt>
                <c:pt idx="32">
                  <c:v>6734.6938775510198</c:v>
                </c:pt>
                <c:pt idx="33">
                  <c:v>6494.8453608247419</c:v>
                </c:pt>
                <c:pt idx="34">
                  <c:v>6060.6060606060601</c:v>
                </c:pt>
                <c:pt idx="35">
                  <c:v>5816.3265306122448</c:v>
                </c:pt>
                <c:pt idx="36">
                  <c:v>5050.5050505050503</c:v>
                </c:pt>
                <c:pt idx="37">
                  <c:v>6082.4742268041236</c:v>
                </c:pt>
                <c:pt idx="38">
                  <c:v>6326.5306122448974</c:v>
                </c:pt>
                <c:pt idx="39">
                  <c:v>7604.1666666666661</c:v>
                </c:pt>
                <c:pt idx="40">
                  <c:v>7789.4736842105258</c:v>
                </c:pt>
                <c:pt idx="41">
                  <c:v>7346.9387755102034</c:v>
                </c:pt>
                <c:pt idx="42">
                  <c:v>6979.166666666667</c:v>
                </c:pt>
                <c:pt idx="43">
                  <c:v>6489.3617021276596</c:v>
                </c:pt>
                <c:pt idx="44">
                  <c:v>6315.7894736842109</c:v>
                </c:pt>
                <c:pt idx="45">
                  <c:v>5833.333333333333</c:v>
                </c:pt>
                <c:pt idx="46">
                  <c:v>5789.4736842105267</c:v>
                </c:pt>
                <c:pt idx="47">
                  <c:v>5591.3978494623652</c:v>
                </c:pt>
                <c:pt idx="48">
                  <c:v>5106.3829787234044</c:v>
                </c:pt>
                <c:pt idx="49">
                  <c:v>5473.6842105263158</c:v>
                </c:pt>
                <c:pt idx="50">
                  <c:v>6021.5053763440865</c:v>
                </c:pt>
                <c:pt idx="51">
                  <c:v>6063.8297872340427</c:v>
                </c:pt>
                <c:pt idx="52">
                  <c:v>6344.0860215053763</c:v>
                </c:pt>
                <c:pt idx="53">
                  <c:v>6593.4065934065939</c:v>
                </c:pt>
                <c:pt idx="54">
                  <c:v>6304.347826086957</c:v>
                </c:pt>
                <c:pt idx="55">
                  <c:v>6063.8297872340427</c:v>
                </c:pt>
                <c:pt idx="56">
                  <c:v>5789.4736842105267</c:v>
                </c:pt>
                <c:pt idx="57">
                  <c:v>5698.9247311827958</c:v>
                </c:pt>
                <c:pt idx="58">
                  <c:v>5604.3956043956041</c:v>
                </c:pt>
                <c:pt idx="59">
                  <c:v>5444.4444444444443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A3-4550-9E9A-FE62737876E3}"/>
            </c:ext>
          </c:extLst>
        </c:ser>
        <c:ser>
          <c:idx val="3"/>
          <c:order val="3"/>
          <c:tx>
            <c:strRef>
              <c:f>'Industry Tractor Total Sales'!$E$1</c:f>
              <c:strCache>
                <c:ptCount val="1"/>
                <c:pt idx="0">
                  <c:v>Pac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'Industry Tractor Total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'Industry Tractor Total Sales'!$E$2:$E$61</c:f>
              <c:numCache>
                <c:formatCode>0</c:formatCode>
                <c:ptCount val="60"/>
                <c:pt idx="0">
                  <c:v>987</c:v>
                </c:pt>
                <c:pt idx="1">
                  <c:v>1090.0473933649289</c:v>
                </c:pt>
                <c:pt idx="2">
                  <c:v>1126.7605633802816</c:v>
                </c:pt>
                <c:pt idx="3">
                  <c:v>1209.3023255813953</c:v>
                </c:pt>
                <c:pt idx="4">
                  <c:v>1220.6572769953052</c:v>
                </c:pt>
                <c:pt idx="5">
                  <c:v>1327.0142180094788</c:v>
                </c:pt>
                <c:pt idx="6">
                  <c:v>1324.2009132420092</c:v>
                </c:pt>
                <c:pt idx="7">
                  <c:v>1267.605633802817</c:v>
                </c:pt>
                <c:pt idx="8">
                  <c:v>1209.3023255813953</c:v>
                </c:pt>
                <c:pt idx="9">
                  <c:v>1168.2242990654206</c:v>
                </c:pt>
                <c:pt idx="10">
                  <c:v>1126.7605633802816</c:v>
                </c:pt>
                <c:pt idx="11">
                  <c:v>1084.9056603773586</c:v>
                </c:pt>
                <c:pt idx="12">
                  <c:v>1184.8341232227488</c:v>
                </c:pt>
                <c:pt idx="13">
                  <c:v>1285.7142857142858</c:v>
                </c:pt>
                <c:pt idx="14">
                  <c:v>1285.7142857142858</c:v>
                </c:pt>
                <c:pt idx="15">
                  <c:v>1346.1538461538462</c:v>
                </c:pt>
                <c:pt idx="16">
                  <c:v>1387.5598086124403</c:v>
                </c:pt>
                <c:pt idx="17">
                  <c:v>1449.2753623188407</c:v>
                </c:pt>
                <c:pt idx="18">
                  <c:v>1490.3846153846155</c:v>
                </c:pt>
                <c:pt idx="19">
                  <c:v>1449.2753623188407</c:v>
                </c:pt>
                <c:pt idx="20">
                  <c:v>1394.2307692307693</c:v>
                </c:pt>
                <c:pt idx="21">
                  <c:v>1256.0386473429953</c:v>
                </c:pt>
                <c:pt idx="22">
                  <c:v>1213.5922330097087</c:v>
                </c:pt>
                <c:pt idx="23">
                  <c:v>1170.7317073170732</c:v>
                </c:pt>
                <c:pt idx="24">
                  <c:v>1207.7294685990339</c:v>
                </c:pt>
                <c:pt idx="25">
                  <c:v>1213.5922330097087</c:v>
                </c:pt>
                <c:pt idx="26">
                  <c:v>1256.0386473429953</c:v>
                </c:pt>
                <c:pt idx="27">
                  <c:v>1310.6796116504854</c:v>
                </c:pt>
                <c:pt idx="28">
                  <c:v>1414.6341463414635</c:v>
                </c:pt>
                <c:pt idx="29">
                  <c:v>1519.607843137255</c:v>
                </c:pt>
                <c:pt idx="30">
                  <c:v>1674.8768472906402</c:v>
                </c:pt>
                <c:pt idx="31">
                  <c:v>1584.158415841584</c:v>
                </c:pt>
                <c:pt idx="32">
                  <c:v>1527.0935960591132</c:v>
                </c:pt>
                <c:pt idx="33">
                  <c:v>1421.5686274509806</c:v>
                </c:pt>
                <c:pt idx="34">
                  <c:v>1365.8536585365855</c:v>
                </c:pt>
                <c:pt idx="35">
                  <c:v>1262.1359223300972</c:v>
                </c:pt>
                <c:pt idx="36">
                  <c:v>1372.5490196078433</c:v>
                </c:pt>
                <c:pt idx="37">
                  <c:v>1435.6435643564355</c:v>
                </c:pt>
                <c:pt idx="38">
                  <c:v>1477.8325123152708</c:v>
                </c:pt>
                <c:pt idx="39">
                  <c:v>1512.1951219512196</c:v>
                </c:pt>
                <c:pt idx="40">
                  <c:v>1641.7910447761194</c:v>
                </c:pt>
                <c:pt idx="41">
                  <c:v>1666.6666666666667</c:v>
                </c:pt>
                <c:pt idx="42">
                  <c:v>1732.6732673267325</c:v>
                </c:pt>
                <c:pt idx="43">
                  <c:v>1700</c:v>
                </c:pt>
                <c:pt idx="44">
                  <c:v>1641.7910447761194</c:v>
                </c:pt>
                <c:pt idx="45">
                  <c:v>1576.3546798029556</c:v>
                </c:pt>
                <c:pt idx="46">
                  <c:v>1492.5373134328358</c:v>
                </c:pt>
                <c:pt idx="47">
                  <c:v>1450</c:v>
                </c:pt>
                <c:pt idx="48">
                  <c:v>1010.10101010101</c:v>
                </c:pt>
                <c:pt idx="49">
                  <c:v>1044.7761194029849</c:v>
                </c:pt>
                <c:pt idx="50">
                  <c:v>1105.5276381909548</c:v>
                </c:pt>
                <c:pt idx="51">
                  <c:v>1150</c:v>
                </c:pt>
                <c:pt idx="52">
                  <c:v>1243.7810945273632</c:v>
                </c:pt>
                <c:pt idx="53">
                  <c:v>1356.7839195979898</c:v>
                </c:pt>
                <c:pt idx="54">
                  <c:v>1421.3197969543146</c:v>
                </c:pt>
                <c:pt idx="55">
                  <c:v>1262.6262626262626</c:v>
                </c:pt>
                <c:pt idx="56">
                  <c:v>1173.4693877551019</c:v>
                </c:pt>
                <c:pt idx="57">
                  <c:v>1128.2051282051282</c:v>
                </c:pt>
                <c:pt idx="58">
                  <c:v>974.35897435897436</c:v>
                </c:pt>
                <c:pt idx="59">
                  <c:v>979.38144329896909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A3-4550-9E9A-FE62737876E3}"/>
            </c:ext>
          </c:extLst>
        </c:ser>
        <c:ser>
          <c:idx val="4"/>
          <c:order val="4"/>
          <c:tx>
            <c:strRef>
              <c:f>'Industry Tractor Total Sales'!$F$1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numRef>
              <c:f>'Industry Tractor Total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'Industry Tractor Total Sales'!$F$2:$F$61</c:f>
              <c:numCache>
                <c:formatCode>0</c:formatCode>
                <c:ptCount val="60"/>
                <c:pt idx="0">
                  <c:v>278</c:v>
                </c:pt>
                <c:pt idx="1">
                  <c:v>283</c:v>
                </c:pt>
                <c:pt idx="2">
                  <c:v>285</c:v>
                </c:pt>
                <c:pt idx="3">
                  <c:v>288</c:v>
                </c:pt>
                <c:pt idx="4">
                  <c:v>286</c:v>
                </c:pt>
                <c:pt idx="5">
                  <c:v>287</c:v>
                </c:pt>
                <c:pt idx="6">
                  <c:v>289</c:v>
                </c:pt>
                <c:pt idx="7">
                  <c:v>290</c:v>
                </c:pt>
                <c:pt idx="8">
                  <c:v>293</c:v>
                </c:pt>
                <c:pt idx="9">
                  <c:v>295</c:v>
                </c:pt>
                <c:pt idx="10">
                  <c:v>298</c:v>
                </c:pt>
                <c:pt idx="11">
                  <c:v>301</c:v>
                </c:pt>
                <c:pt idx="12">
                  <c:v>306</c:v>
                </c:pt>
                <c:pt idx="13">
                  <c:v>302</c:v>
                </c:pt>
                <c:pt idx="14">
                  <c:v>303</c:v>
                </c:pt>
                <c:pt idx="15">
                  <c:v>307</c:v>
                </c:pt>
                <c:pt idx="16">
                  <c:v>309</c:v>
                </c:pt>
                <c:pt idx="17">
                  <c:v>312</c:v>
                </c:pt>
                <c:pt idx="18">
                  <c:v>315</c:v>
                </c:pt>
                <c:pt idx="19">
                  <c:v>318</c:v>
                </c:pt>
                <c:pt idx="20">
                  <c:v>321</c:v>
                </c:pt>
                <c:pt idx="21">
                  <c:v>315</c:v>
                </c:pt>
                <c:pt idx="22">
                  <c:v>318</c:v>
                </c:pt>
                <c:pt idx="23">
                  <c:v>320</c:v>
                </c:pt>
                <c:pt idx="24">
                  <c:v>333.33333333333337</c:v>
                </c:pt>
                <c:pt idx="25">
                  <c:v>312.5</c:v>
                </c:pt>
                <c:pt idx="26">
                  <c:v>606.06060606060601</c:v>
                </c:pt>
                <c:pt idx="27">
                  <c:v>571.42857142857133</c:v>
                </c:pt>
                <c:pt idx="28">
                  <c:v>555.55555555555554</c:v>
                </c:pt>
                <c:pt idx="29">
                  <c:v>526.31578947368428</c:v>
                </c:pt>
                <c:pt idx="30">
                  <c:v>512.82051282051282</c:v>
                </c:pt>
                <c:pt idx="31">
                  <c:v>769.23076923076928</c:v>
                </c:pt>
                <c:pt idx="32">
                  <c:v>750</c:v>
                </c:pt>
                <c:pt idx="33">
                  <c:v>731.70731707317077</c:v>
                </c:pt>
                <c:pt idx="34">
                  <c:v>714.28571428571433</c:v>
                </c:pt>
                <c:pt idx="35">
                  <c:v>697.67441860465124</c:v>
                </c:pt>
                <c:pt idx="36">
                  <c:v>714.28571428571433</c:v>
                </c:pt>
                <c:pt idx="37">
                  <c:v>1063</c:v>
                </c:pt>
                <c:pt idx="38">
                  <c:v>1264</c:v>
                </c:pt>
                <c:pt idx="39">
                  <c:v>1333.3333333333335</c:v>
                </c:pt>
                <c:pt idx="40">
                  <c:v>1555.5555555555557</c:v>
                </c:pt>
                <c:pt idx="41">
                  <c:v>1739.1304347826087</c:v>
                </c:pt>
                <c:pt idx="42">
                  <c:v>1702.127659574468</c:v>
                </c:pt>
                <c:pt idx="43">
                  <c:v>1914.8936170212767</c:v>
                </c:pt>
                <c:pt idx="44">
                  <c:v>2083.3333333333335</c:v>
                </c:pt>
                <c:pt idx="45">
                  <c:v>2127.6595744680849</c:v>
                </c:pt>
                <c:pt idx="46">
                  <c:v>2291.6666666666665</c:v>
                </c:pt>
                <c:pt idx="47">
                  <c:v>2244.8979591836733</c:v>
                </c:pt>
                <c:pt idx="48">
                  <c:v>2291.6666666666665</c:v>
                </c:pt>
                <c:pt idx="49">
                  <c:v>2448.9795918367345</c:v>
                </c:pt>
                <c:pt idx="50">
                  <c:v>2400</c:v>
                </c:pt>
                <c:pt idx="51">
                  <c:v>2352.9411764705883</c:v>
                </c:pt>
                <c:pt idx="52">
                  <c:v>2600</c:v>
                </c:pt>
                <c:pt idx="53">
                  <c:v>2653.0612244897957</c:v>
                </c:pt>
                <c:pt idx="54">
                  <c:v>2600</c:v>
                </c:pt>
                <c:pt idx="55">
                  <c:v>2549.0196078431372</c:v>
                </c:pt>
                <c:pt idx="56">
                  <c:v>2452.8301886792451</c:v>
                </c:pt>
                <c:pt idx="57">
                  <c:v>2517</c:v>
                </c:pt>
                <c:pt idx="58">
                  <c:v>2541</c:v>
                </c:pt>
                <c:pt idx="59">
                  <c:v>2452.8301886792451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A3-4550-9E9A-FE6273787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005840"/>
        <c:axId val="1264007504"/>
      </c:areaChart>
      <c:dateAx>
        <c:axId val="12640058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007504"/>
        <c:crosses val="autoZero"/>
        <c:auto val="1"/>
        <c:lblOffset val="100"/>
        <c:baseTimeUnit val="months"/>
        <c:majorUnit val="4"/>
        <c:majorTimeUnit val="months"/>
      </c:dateAx>
      <c:valAx>
        <c:axId val="126400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4005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Industry Tractor Sales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0442203258339798E-2"/>
                  <c:y val="-0.156662079186152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'Industry Tractor Total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'Industry Tractor Total Sales'!$G$2:$G$61</c:f>
              <c:numCache>
                <c:formatCode>0</c:formatCode>
                <c:ptCount val="60"/>
                <c:pt idx="0">
                  <c:v>15482.766233766233</c:v>
                </c:pt>
                <c:pt idx="1">
                  <c:v>16324.914860001461</c:v>
                </c:pt>
                <c:pt idx="2">
                  <c:v>17128.951121110222</c:v>
                </c:pt>
                <c:pt idx="3">
                  <c:v>17327.142572071632</c:v>
                </c:pt>
                <c:pt idx="4">
                  <c:v>16277.546764865925</c:v>
                </c:pt>
                <c:pt idx="5">
                  <c:v>15448.197457853095</c:v>
                </c:pt>
                <c:pt idx="6">
                  <c:v>15905.034156272297</c:v>
                </c:pt>
                <c:pt idx="7">
                  <c:v>14422.488274490119</c:v>
                </c:pt>
                <c:pt idx="8">
                  <c:v>14258.449098057057</c:v>
                </c:pt>
                <c:pt idx="9">
                  <c:v>14061.313274984424</c:v>
                </c:pt>
                <c:pt idx="10">
                  <c:v>15378.161881302714</c:v>
                </c:pt>
                <c:pt idx="11">
                  <c:v>14272.286136988971</c:v>
                </c:pt>
                <c:pt idx="12">
                  <c:v>14288.568689879334</c:v>
                </c:pt>
                <c:pt idx="13">
                  <c:v>16530.131656703088</c:v>
                </c:pt>
                <c:pt idx="14">
                  <c:v>17319.936698686888</c:v>
                </c:pt>
                <c:pt idx="15">
                  <c:v>18841.798534798534</c:v>
                </c:pt>
                <c:pt idx="16">
                  <c:v>17826.118235756883</c:v>
                </c:pt>
                <c:pt idx="17">
                  <c:v>17669.185177587337</c:v>
                </c:pt>
                <c:pt idx="18">
                  <c:v>16486.583392143024</c:v>
                </c:pt>
                <c:pt idx="19">
                  <c:v>16250.197845241324</c:v>
                </c:pt>
                <c:pt idx="20">
                  <c:v>15692.395084793767</c:v>
                </c:pt>
                <c:pt idx="21">
                  <c:v>14844.192904023907</c:v>
                </c:pt>
                <c:pt idx="22">
                  <c:v>14401.927547412819</c:v>
                </c:pt>
                <c:pt idx="23">
                  <c:v>13716.252350356897</c:v>
                </c:pt>
                <c:pt idx="24">
                  <c:v>14597.070572265766</c:v>
                </c:pt>
                <c:pt idx="25">
                  <c:v>16836.379860012879</c:v>
                </c:pt>
                <c:pt idx="26">
                  <c:v>18411.98809066278</c:v>
                </c:pt>
                <c:pt idx="27">
                  <c:v>19851.693436535279</c:v>
                </c:pt>
                <c:pt idx="28">
                  <c:v>20512.74866096452</c:v>
                </c:pt>
                <c:pt idx="29">
                  <c:v>20354.532003465676</c:v>
                </c:pt>
                <c:pt idx="30">
                  <c:v>19716.047149488833</c:v>
                </c:pt>
                <c:pt idx="31">
                  <c:v>18574.988153479833</c:v>
                </c:pt>
                <c:pt idx="32">
                  <c:v>17394.316233672835</c:v>
                </c:pt>
                <c:pt idx="33">
                  <c:v>16226.294679961897</c:v>
                </c:pt>
                <c:pt idx="34">
                  <c:v>15587.291692924258</c:v>
                </c:pt>
                <c:pt idx="35">
                  <c:v>14206.644033761471</c:v>
                </c:pt>
                <c:pt idx="36">
                  <c:v>14394.284228843051</c:v>
                </c:pt>
                <c:pt idx="37">
                  <c:v>17217.84275141493</c:v>
                </c:pt>
                <c:pt idx="38">
                  <c:v>19310.345428733319</c:v>
                </c:pt>
                <c:pt idx="39">
                  <c:v>22901.14702757735</c:v>
                </c:pt>
                <c:pt idx="40">
                  <c:v>24243.665423662034</c:v>
                </c:pt>
                <c:pt idx="41">
                  <c:v>22992.87677043027</c:v>
                </c:pt>
                <c:pt idx="42">
                  <c:v>22482.955468819117</c:v>
                </c:pt>
                <c:pt idx="43">
                  <c:v>21464.627186231581</c:v>
                </c:pt>
                <c:pt idx="44">
                  <c:v>21122.712424881436</c:v>
                </c:pt>
                <c:pt idx="45">
                  <c:v>20522.711602763822</c:v>
                </c:pt>
                <c:pt idx="46">
                  <c:v>19789.319894246728</c:v>
                </c:pt>
                <c:pt idx="47">
                  <c:v>18328.955332074791</c:v>
                </c:pt>
                <c:pt idx="48">
                  <c:v>18310.727651091333</c:v>
                </c:pt>
                <c:pt idx="49">
                  <c:v>20476.960806286919</c:v>
                </c:pt>
                <c:pt idx="50">
                  <c:v>22489.243574510961</c:v>
                </c:pt>
                <c:pt idx="51">
                  <c:v>23607.360004293667</c:v>
                </c:pt>
                <c:pt idx="52">
                  <c:v>25438.745464737174</c:v>
                </c:pt>
                <c:pt idx="53">
                  <c:v>27373.522007764652</c:v>
                </c:pt>
                <c:pt idx="54">
                  <c:v>26763.626473761837</c:v>
                </c:pt>
                <c:pt idx="55">
                  <c:v>25427.634959862742</c:v>
                </c:pt>
                <c:pt idx="56">
                  <c:v>23995.246752035462</c:v>
                </c:pt>
                <c:pt idx="57">
                  <c:v>23142.109657367724</c:v>
                </c:pt>
                <c:pt idx="58">
                  <c:v>22666.186574371615</c:v>
                </c:pt>
                <c:pt idx="59">
                  <c:v>21988.959106725684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7C-4649-B8A3-1D0BBAB3D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0205503"/>
        <c:axId val="1510329919"/>
      </c:lineChart>
      <c:dateAx>
        <c:axId val="1510205503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329919"/>
        <c:crosses val="autoZero"/>
        <c:auto val="1"/>
        <c:lblOffset val="100"/>
        <c:baseTimeUnit val="months"/>
        <c:majorUnit val="4"/>
        <c:majorTimeUnit val="months"/>
      </c:dateAx>
      <c:valAx>
        <c:axId val="151032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205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vs Industry Tractor Sales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Industry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'Industry Tractor Total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'Industry Tractor Total Sales'!$G$2:$G$61</c:f>
              <c:numCache>
                <c:formatCode>0</c:formatCode>
                <c:ptCount val="60"/>
                <c:pt idx="0">
                  <c:v>15482.766233766233</c:v>
                </c:pt>
                <c:pt idx="1">
                  <c:v>16324.914860001461</c:v>
                </c:pt>
                <c:pt idx="2">
                  <c:v>17128.951121110222</c:v>
                </c:pt>
                <c:pt idx="3">
                  <c:v>17327.142572071632</c:v>
                </c:pt>
                <c:pt idx="4">
                  <c:v>16277.546764865925</c:v>
                </c:pt>
                <c:pt idx="5">
                  <c:v>15448.197457853095</c:v>
                </c:pt>
                <c:pt idx="6">
                  <c:v>15905.034156272297</c:v>
                </c:pt>
                <c:pt idx="7">
                  <c:v>14422.488274490119</c:v>
                </c:pt>
                <c:pt idx="8">
                  <c:v>14258.449098057057</c:v>
                </c:pt>
                <c:pt idx="9">
                  <c:v>14061.313274984424</c:v>
                </c:pt>
                <c:pt idx="10">
                  <c:v>15378.161881302714</c:v>
                </c:pt>
                <c:pt idx="11">
                  <c:v>14272.286136988971</c:v>
                </c:pt>
                <c:pt idx="12">
                  <c:v>14288.568689879334</c:v>
                </c:pt>
                <c:pt idx="13">
                  <c:v>16530.131656703088</c:v>
                </c:pt>
                <c:pt idx="14">
                  <c:v>17319.936698686888</c:v>
                </c:pt>
                <c:pt idx="15">
                  <c:v>18841.798534798534</c:v>
                </c:pt>
                <c:pt idx="16">
                  <c:v>17826.118235756883</c:v>
                </c:pt>
                <c:pt idx="17">
                  <c:v>17669.185177587337</c:v>
                </c:pt>
                <c:pt idx="18">
                  <c:v>16486.583392143024</c:v>
                </c:pt>
                <c:pt idx="19">
                  <c:v>16250.197845241324</c:v>
                </c:pt>
                <c:pt idx="20">
                  <c:v>15692.395084793767</c:v>
                </c:pt>
                <c:pt idx="21">
                  <c:v>14844.192904023907</c:v>
                </c:pt>
                <c:pt idx="22">
                  <c:v>14401.927547412819</c:v>
                </c:pt>
                <c:pt idx="23">
                  <c:v>13716.252350356897</c:v>
                </c:pt>
                <c:pt idx="24">
                  <c:v>14597.070572265766</c:v>
                </c:pt>
                <c:pt idx="25">
                  <c:v>16836.379860012879</c:v>
                </c:pt>
                <c:pt idx="26">
                  <c:v>18411.98809066278</c:v>
                </c:pt>
                <c:pt idx="27">
                  <c:v>19851.693436535279</c:v>
                </c:pt>
                <c:pt idx="28">
                  <c:v>20512.74866096452</c:v>
                </c:pt>
                <c:pt idx="29">
                  <c:v>20354.532003465676</c:v>
                </c:pt>
                <c:pt idx="30">
                  <c:v>19716.047149488833</c:v>
                </c:pt>
                <c:pt idx="31">
                  <c:v>18574.988153479833</c:v>
                </c:pt>
                <c:pt idx="32">
                  <c:v>17394.316233672835</c:v>
                </c:pt>
                <c:pt idx="33">
                  <c:v>16226.294679961897</c:v>
                </c:pt>
                <c:pt idx="34">
                  <c:v>15587.291692924258</c:v>
                </c:pt>
                <c:pt idx="35">
                  <c:v>14206.644033761471</c:v>
                </c:pt>
                <c:pt idx="36">
                  <c:v>14394.284228843051</c:v>
                </c:pt>
                <c:pt idx="37">
                  <c:v>17217.84275141493</c:v>
                </c:pt>
                <c:pt idx="38">
                  <c:v>19310.345428733319</c:v>
                </c:pt>
                <c:pt idx="39">
                  <c:v>22901.14702757735</c:v>
                </c:pt>
                <c:pt idx="40">
                  <c:v>24243.665423662034</c:v>
                </c:pt>
                <c:pt idx="41">
                  <c:v>22992.87677043027</c:v>
                </c:pt>
                <c:pt idx="42">
                  <c:v>22482.955468819117</c:v>
                </c:pt>
                <c:pt idx="43">
                  <c:v>21464.627186231581</c:v>
                </c:pt>
                <c:pt idx="44">
                  <c:v>21122.712424881436</c:v>
                </c:pt>
                <c:pt idx="45">
                  <c:v>20522.711602763822</c:v>
                </c:pt>
                <c:pt idx="46">
                  <c:v>19789.319894246728</c:v>
                </c:pt>
                <c:pt idx="47">
                  <c:v>18328.955332074791</c:v>
                </c:pt>
                <c:pt idx="48">
                  <c:v>18310.727651091333</c:v>
                </c:pt>
                <c:pt idx="49">
                  <c:v>20476.960806286919</c:v>
                </c:pt>
                <c:pt idx="50">
                  <c:v>22489.243574510961</c:v>
                </c:pt>
                <c:pt idx="51">
                  <c:v>23607.360004293667</c:v>
                </c:pt>
                <c:pt idx="52">
                  <c:v>25438.745464737174</c:v>
                </c:pt>
                <c:pt idx="53">
                  <c:v>27373.522007764652</c:v>
                </c:pt>
                <c:pt idx="54">
                  <c:v>26763.626473761837</c:v>
                </c:pt>
                <c:pt idx="55">
                  <c:v>25427.634959862742</c:v>
                </c:pt>
                <c:pt idx="56">
                  <c:v>23995.246752035462</c:v>
                </c:pt>
                <c:pt idx="57">
                  <c:v>23142.109657367724</c:v>
                </c:pt>
                <c:pt idx="58">
                  <c:v>22666.186574371615</c:v>
                </c:pt>
                <c:pt idx="59">
                  <c:v>21988.959106725684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EB-498B-85E5-E483759D3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6610432"/>
        <c:axId val="1746597120"/>
      </c:lineChart>
      <c:lineChart>
        <c:grouping val="standard"/>
        <c:varyColors val="0"/>
        <c:ser>
          <c:idx val="1"/>
          <c:order val="1"/>
          <c:tx>
            <c:v>Company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'Industry Tractor Total Sales'!$A$2:$A$61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'Tractor Unit Sales'!$G$2:$G$61</c:f>
              <c:numCache>
                <c:formatCode>General</c:formatCode>
                <c:ptCount val="60"/>
                <c:pt idx="0">
                  <c:v>1592</c:v>
                </c:pt>
                <c:pt idx="1">
                  <c:v>1711</c:v>
                </c:pt>
                <c:pt idx="2">
                  <c:v>1810</c:v>
                </c:pt>
                <c:pt idx="3">
                  <c:v>1867</c:v>
                </c:pt>
                <c:pt idx="4">
                  <c:v>1779</c:v>
                </c:pt>
                <c:pt idx="5">
                  <c:v>1740</c:v>
                </c:pt>
                <c:pt idx="6">
                  <c:v>1826</c:v>
                </c:pt>
                <c:pt idx="7">
                  <c:v>1695</c:v>
                </c:pt>
                <c:pt idx="8">
                  <c:v>1681</c:v>
                </c:pt>
                <c:pt idx="9">
                  <c:v>1663</c:v>
                </c:pt>
                <c:pt idx="10">
                  <c:v>1825</c:v>
                </c:pt>
                <c:pt idx="11">
                  <c:v>1720</c:v>
                </c:pt>
                <c:pt idx="12">
                  <c:v>1761</c:v>
                </c:pt>
                <c:pt idx="13">
                  <c:v>2035</c:v>
                </c:pt>
                <c:pt idx="14">
                  <c:v>2142</c:v>
                </c:pt>
                <c:pt idx="15">
                  <c:v>2340</c:v>
                </c:pt>
                <c:pt idx="16">
                  <c:v>2280</c:v>
                </c:pt>
                <c:pt idx="17">
                  <c:v>2271</c:v>
                </c:pt>
                <c:pt idx="18">
                  <c:v>2154</c:v>
                </c:pt>
                <c:pt idx="19">
                  <c:v>2146</c:v>
                </c:pt>
                <c:pt idx="20">
                  <c:v>2085</c:v>
                </c:pt>
                <c:pt idx="21">
                  <c:v>1970</c:v>
                </c:pt>
                <c:pt idx="22">
                  <c:v>1936</c:v>
                </c:pt>
                <c:pt idx="23">
                  <c:v>1850</c:v>
                </c:pt>
                <c:pt idx="24">
                  <c:v>2000</c:v>
                </c:pt>
                <c:pt idx="25">
                  <c:v>2324</c:v>
                </c:pt>
                <c:pt idx="26">
                  <c:v>2510</c:v>
                </c:pt>
                <c:pt idx="27">
                  <c:v>2672</c:v>
                </c:pt>
                <c:pt idx="28">
                  <c:v>2780</c:v>
                </c:pt>
                <c:pt idx="29">
                  <c:v>2813</c:v>
                </c:pt>
                <c:pt idx="30">
                  <c:v>2716</c:v>
                </c:pt>
                <c:pt idx="31">
                  <c:v>2581</c:v>
                </c:pt>
                <c:pt idx="32">
                  <c:v>2476</c:v>
                </c:pt>
                <c:pt idx="33">
                  <c:v>2317</c:v>
                </c:pt>
                <c:pt idx="34">
                  <c:v>2324</c:v>
                </c:pt>
                <c:pt idx="35">
                  <c:v>2080</c:v>
                </c:pt>
                <c:pt idx="36">
                  <c:v>2202</c:v>
                </c:pt>
                <c:pt idx="37">
                  <c:v>2540</c:v>
                </c:pt>
                <c:pt idx="38">
                  <c:v>2867</c:v>
                </c:pt>
                <c:pt idx="39">
                  <c:v>3348</c:v>
                </c:pt>
                <c:pt idx="40">
                  <c:v>3550</c:v>
                </c:pt>
                <c:pt idx="41">
                  <c:v>3432</c:v>
                </c:pt>
                <c:pt idx="42">
                  <c:v>3400</c:v>
                </c:pt>
                <c:pt idx="43">
                  <c:v>3261</c:v>
                </c:pt>
                <c:pt idx="44">
                  <c:v>3209</c:v>
                </c:pt>
                <c:pt idx="45">
                  <c:v>3132</c:v>
                </c:pt>
                <c:pt idx="46">
                  <c:v>3027</c:v>
                </c:pt>
                <c:pt idx="47">
                  <c:v>2777</c:v>
                </c:pt>
                <c:pt idx="48">
                  <c:v>2821</c:v>
                </c:pt>
                <c:pt idx="49">
                  <c:v>3209</c:v>
                </c:pt>
                <c:pt idx="50">
                  <c:v>3553</c:v>
                </c:pt>
                <c:pt idx="51">
                  <c:v>3820</c:v>
                </c:pt>
                <c:pt idx="52">
                  <c:v>4133</c:v>
                </c:pt>
                <c:pt idx="53">
                  <c:v>4476</c:v>
                </c:pt>
                <c:pt idx="54">
                  <c:v>4436</c:v>
                </c:pt>
                <c:pt idx="55">
                  <c:v>4256</c:v>
                </c:pt>
                <c:pt idx="56">
                  <c:v>4067</c:v>
                </c:pt>
                <c:pt idx="57">
                  <c:v>3890</c:v>
                </c:pt>
                <c:pt idx="58">
                  <c:v>3816</c:v>
                </c:pt>
                <c:pt idx="59">
                  <c:v>3717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EB-498B-85E5-E483759D3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9607408"/>
        <c:axId val="1909587024"/>
      </c:lineChart>
      <c:dateAx>
        <c:axId val="174661043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597120"/>
        <c:crosses val="autoZero"/>
        <c:auto val="1"/>
        <c:lblOffset val="100"/>
        <c:baseTimeUnit val="months"/>
        <c:majorUnit val="4"/>
        <c:majorTimeUnit val="months"/>
      </c:dateAx>
      <c:valAx>
        <c:axId val="174659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610432"/>
        <c:crosses val="autoZero"/>
        <c:crossBetween val="between"/>
      </c:valAx>
      <c:valAx>
        <c:axId val="19095870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607408"/>
        <c:crosses val="max"/>
        <c:crossBetween val="between"/>
      </c:valAx>
      <c:dateAx>
        <c:axId val="190960740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909587024"/>
        <c:auto val="1"/>
        <c:lblOffset val="100"/>
        <c:baseTimeUnit val="month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Mower Production Cost</a:t>
            </a:r>
            <a:r>
              <a:rPr lang="en-US" baseline="0"/>
              <a:t>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'Unit Production Costs'!$A$2:$A$61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'Unit Production Costs'!$C$2:$C$61</c:f>
              <c:numCache>
                <c:formatCode>"$"#,##0.00</c:formatCode>
                <c:ptCount val="60"/>
                <c:pt idx="0">
                  <c:v>50</c:v>
                </c:pt>
                <c:pt idx="1">
                  <c:v>50</c:v>
                </c:pt>
                <c:pt idx="2">
                  <c:v>51</c:v>
                </c:pt>
                <c:pt idx="3">
                  <c:v>51</c:v>
                </c:pt>
                <c:pt idx="4">
                  <c:v>51</c:v>
                </c:pt>
                <c:pt idx="5">
                  <c:v>51</c:v>
                </c:pt>
                <c:pt idx="6">
                  <c:v>51</c:v>
                </c:pt>
                <c:pt idx="7">
                  <c:v>51</c:v>
                </c:pt>
                <c:pt idx="8">
                  <c:v>52</c:v>
                </c:pt>
                <c:pt idx="9">
                  <c:v>52</c:v>
                </c:pt>
                <c:pt idx="10">
                  <c:v>52</c:v>
                </c:pt>
                <c:pt idx="11">
                  <c:v>52</c:v>
                </c:pt>
                <c:pt idx="12">
                  <c:v>55</c:v>
                </c:pt>
                <c:pt idx="13">
                  <c:v>55</c:v>
                </c:pt>
                <c:pt idx="14">
                  <c:v>55</c:v>
                </c:pt>
                <c:pt idx="15">
                  <c:v>55</c:v>
                </c:pt>
                <c:pt idx="16">
                  <c:v>56</c:v>
                </c:pt>
                <c:pt idx="17">
                  <c:v>56</c:v>
                </c:pt>
                <c:pt idx="18">
                  <c:v>56</c:v>
                </c:pt>
                <c:pt idx="19">
                  <c:v>56</c:v>
                </c:pt>
                <c:pt idx="20">
                  <c:v>56</c:v>
                </c:pt>
                <c:pt idx="21">
                  <c:v>57</c:v>
                </c:pt>
                <c:pt idx="22">
                  <c:v>57</c:v>
                </c:pt>
                <c:pt idx="23">
                  <c:v>57</c:v>
                </c:pt>
                <c:pt idx="24">
                  <c:v>59</c:v>
                </c:pt>
                <c:pt idx="25">
                  <c:v>59</c:v>
                </c:pt>
                <c:pt idx="26">
                  <c:v>59</c:v>
                </c:pt>
                <c:pt idx="27">
                  <c:v>59</c:v>
                </c:pt>
                <c:pt idx="28">
                  <c:v>59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61</c:v>
                </c:pt>
                <c:pt idx="35">
                  <c:v>61</c:v>
                </c:pt>
                <c:pt idx="36">
                  <c:v>59</c:v>
                </c:pt>
                <c:pt idx="37">
                  <c:v>59</c:v>
                </c:pt>
                <c:pt idx="38">
                  <c:v>59</c:v>
                </c:pt>
                <c:pt idx="39">
                  <c:v>59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61</c:v>
                </c:pt>
                <c:pt idx="47">
                  <c:v>61</c:v>
                </c:pt>
                <c:pt idx="48">
                  <c:v>63</c:v>
                </c:pt>
                <c:pt idx="49">
                  <c:v>63</c:v>
                </c:pt>
                <c:pt idx="50">
                  <c:v>63</c:v>
                </c:pt>
                <c:pt idx="51">
                  <c:v>63</c:v>
                </c:pt>
                <c:pt idx="52">
                  <c:v>63</c:v>
                </c:pt>
                <c:pt idx="53">
                  <c:v>63</c:v>
                </c:pt>
                <c:pt idx="54">
                  <c:v>64</c:v>
                </c:pt>
                <c:pt idx="55">
                  <c:v>64</c:v>
                </c:pt>
                <c:pt idx="56">
                  <c:v>64</c:v>
                </c:pt>
                <c:pt idx="57">
                  <c:v>64</c:v>
                </c:pt>
                <c:pt idx="58">
                  <c:v>64</c:v>
                </c:pt>
                <c:pt idx="59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95-4DFD-81B2-9F0C396D4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3404896"/>
        <c:axId val="1303399488"/>
      </c:lineChart>
      <c:dateAx>
        <c:axId val="13034048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399488"/>
        <c:crosses val="autoZero"/>
        <c:auto val="1"/>
        <c:lblOffset val="100"/>
        <c:baseTimeUnit val="months"/>
        <c:majorUnit val="4"/>
        <c:majorTimeUnit val="months"/>
      </c:dateAx>
      <c:valAx>
        <c:axId val="1303399488"/>
        <c:scaling>
          <c:orientation val="minMax"/>
          <c:max val="65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404896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Tractor Production Cost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'Unit Production Costs'!$A$2:$A$61</c:f>
              <c:numCache>
                <c:formatCode>m/d/yyyy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'Unit Production Costs'!$B$2:$B$61</c:f>
              <c:numCache>
                <c:formatCode>"$"#,##0.00</c:formatCode>
                <c:ptCount val="60"/>
                <c:pt idx="0">
                  <c:v>1750</c:v>
                </c:pt>
                <c:pt idx="1">
                  <c:v>1755</c:v>
                </c:pt>
                <c:pt idx="2">
                  <c:v>1763</c:v>
                </c:pt>
                <c:pt idx="3">
                  <c:v>1770</c:v>
                </c:pt>
                <c:pt idx="4">
                  <c:v>1778</c:v>
                </c:pt>
                <c:pt idx="5">
                  <c:v>1785</c:v>
                </c:pt>
                <c:pt idx="6">
                  <c:v>1792</c:v>
                </c:pt>
                <c:pt idx="7">
                  <c:v>1795</c:v>
                </c:pt>
                <c:pt idx="8">
                  <c:v>1801</c:v>
                </c:pt>
                <c:pt idx="9">
                  <c:v>1804</c:v>
                </c:pt>
                <c:pt idx="10">
                  <c:v>1810</c:v>
                </c:pt>
                <c:pt idx="11">
                  <c:v>1813</c:v>
                </c:pt>
                <c:pt idx="12">
                  <c:v>1835</c:v>
                </c:pt>
                <c:pt idx="13">
                  <c:v>1841</c:v>
                </c:pt>
                <c:pt idx="14">
                  <c:v>1848</c:v>
                </c:pt>
                <c:pt idx="15">
                  <c:v>1854</c:v>
                </c:pt>
                <c:pt idx="16">
                  <c:v>1860</c:v>
                </c:pt>
                <c:pt idx="17">
                  <c:v>1866</c:v>
                </c:pt>
                <c:pt idx="18">
                  <c:v>1872</c:v>
                </c:pt>
                <c:pt idx="19">
                  <c:v>1878</c:v>
                </c:pt>
                <c:pt idx="20">
                  <c:v>1885</c:v>
                </c:pt>
                <c:pt idx="21">
                  <c:v>1892</c:v>
                </c:pt>
                <c:pt idx="22">
                  <c:v>1897</c:v>
                </c:pt>
                <c:pt idx="23">
                  <c:v>1903</c:v>
                </c:pt>
                <c:pt idx="24">
                  <c:v>1925</c:v>
                </c:pt>
                <c:pt idx="25">
                  <c:v>1931</c:v>
                </c:pt>
                <c:pt idx="26">
                  <c:v>1938</c:v>
                </c:pt>
                <c:pt idx="27">
                  <c:v>1944</c:v>
                </c:pt>
                <c:pt idx="28">
                  <c:v>1950</c:v>
                </c:pt>
                <c:pt idx="29">
                  <c:v>1956</c:v>
                </c:pt>
                <c:pt idx="30">
                  <c:v>1963</c:v>
                </c:pt>
                <c:pt idx="31">
                  <c:v>1969</c:v>
                </c:pt>
                <c:pt idx="32">
                  <c:v>1976</c:v>
                </c:pt>
                <c:pt idx="33">
                  <c:v>1983</c:v>
                </c:pt>
                <c:pt idx="34">
                  <c:v>1990</c:v>
                </c:pt>
                <c:pt idx="35">
                  <c:v>1996</c:v>
                </c:pt>
                <c:pt idx="36">
                  <c:v>1940</c:v>
                </c:pt>
                <c:pt idx="37">
                  <c:v>1946</c:v>
                </c:pt>
                <c:pt idx="38">
                  <c:v>1952</c:v>
                </c:pt>
                <c:pt idx="39">
                  <c:v>1958</c:v>
                </c:pt>
                <c:pt idx="40">
                  <c:v>1964</c:v>
                </c:pt>
                <c:pt idx="41">
                  <c:v>1970</c:v>
                </c:pt>
                <c:pt idx="42">
                  <c:v>1976</c:v>
                </c:pt>
                <c:pt idx="43">
                  <c:v>1983</c:v>
                </c:pt>
                <c:pt idx="44">
                  <c:v>1990</c:v>
                </c:pt>
                <c:pt idx="45">
                  <c:v>1996</c:v>
                </c:pt>
                <c:pt idx="46">
                  <c:v>2012</c:v>
                </c:pt>
                <c:pt idx="47">
                  <c:v>2008</c:v>
                </c:pt>
                <c:pt idx="48">
                  <c:v>2073</c:v>
                </c:pt>
                <c:pt idx="49">
                  <c:v>2077</c:v>
                </c:pt>
                <c:pt idx="50">
                  <c:v>2081</c:v>
                </c:pt>
                <c:pt idx="51">
                  <c:v>2086</c:v>
                </c:pt>
                <c:pt idx="52">
                  <c:v>2092</c:v>
                </c:pt>
                <c:pt idx="53">
                  <c:v>2098</c:v>
                </c:pt>
                <c:pt idx="54">
                  <c:v>2104</c:v>
                </c:pt>
                <c:pt idx="55">
                  <c:v>2110</c:v>
                </c:pt>
                <c:pt idx="56">
                  <c:v>2116</c:v>
                </c:pt>
                <c:pt idx="57">
                  <c:v>2122</c:v>
                </c:pt>
                <c:pt idx="58">
                  <c:v>2129</c:v>
                </c:pt>
                <c:pt idx="59">
                  <c:v>2135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D4-4CE5-84FD-9BA7B9069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8879856"/>
        <c:axId val="1238882768"/>
      </c:lineChart>
      <c:dateAx>
        <c:axId val="12388798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882768"/>
        <c:crosses val="autoZero"/>
        <c:auto val="1"/>
        <c:lblOffset val="100"/>
        <c:baseTimeUnit val="months"/>
        <c:majorUnit val="4"/>
        <c:majorTimeUnit val="months"/>
      </c:dateAx>
      <c:valAx>
        <c:axId val="1238882768"/>
        <c:scaling>
          <c:orientation val="minMax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87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Survey Results by Region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'2014 Customer Survey'!$A$209</c:f>
              <c:strCache>
                <c:ptCount val="1"/>
                <c:pt idx="0">
                  <c:v>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'2014 Customer Survey'!$B$1:$E$1</c:f>
              <c:strCache>
                <c:ptCount val="4"/>
                <c:pt idx="0">
                  <c:v>Quality</c:v>
                </c:pt>
                <c:pt idx="1">
                  <c:v>Ease of Use</c:v>
                </c:pt>
                <c:pt idx="2">
                  <c:v>Price</c:v>
                </c:pt>
                <c:pt idx="3">
                  <c:v>Service</c:v>
                </c:pt>
              </c:strCache>
            </c:strRef>
          </c:cat>
          <c:val>
            <c:numRef>
              <c:f>'2014 Customer Survey'!$B$210:$E$210</c:f>
              <c:numCache>
                <c:formatCode>0.00</c:formatCode>
                <c:ptCount val="4"/>
                <c:pt idx="0">
                  <c:v>4.5999999999999996</c:v>
                </c:pt>
                <c:pt idx="1">
                  <c:v>4.2699999999999996</c:v>
                </c:pt>
                <c:pt idx="2">
                  <c:v>3.71</c:v>
                </c:pt>
                <c:pt idx="3">
                  <c:v>4.3099999999999996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70-4BA2-9C63-9EA507718493}"/>
            </c:ext>
          </c:extLst>
        </c:ser>
        <c:ser>
          <c:idx val="1"/>
          <c:order val="1"/>
          <c:tx>
            <c:strRef>
              <c:f>'2014 Customer Survey'!$A$215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'2014 Customer Survey'!$B$216:$E$216</c:f>
              <c:numCache>
                <c:formatCode>0.00</c:formatCode>
                <c:ptCount val="4"/>
                <c:pt idx="0">
                  <c:v>4.28</c:v>
                </c:pt>
                <c:pt idx="1">
                  <c:v>3.92</c:v>
                </c:pt>
                <c:pt idx="2">
                  <c:v>3.5</c:v>
                </c:pt>
                <c:pt idx="3">
                  <c:v>4.24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70-4BA2-9C63-9EA507718493}"/>
            </c:ext>
          </c:extLst>
        </c:ser>
        <c:ser>
          <c:idx val="2"/>
          <c:order val="2"/>
          <c:tx>
            <c:strRef>
              <c:f>'2014 Customer Survey'!$A$221</c:f>
              <c:strCache>
                <c:ptCount val="1"/>
                <c:pt idx="0">
                  <c:v>Eur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'2014 Customer Survey'!$B$222:$E$222</c:f>
              <c:numCache>
                <c:formatCode>0.00</c:formatCode>
                <c:ptCount val="4"/>
                <c:pt idx="0">
                  <c:v>4.0999999999999996</c:v>
                </c:pt>
                <c:pt idx="1">
                  <c:v>4.333333333333333</c:v>
                </c:pt>
                <c:pt idx="2">
                  <c:v>3.9</c:v>
                </c:pt>
                <c:pt idx="3">
                  <c:v>3.8666666666666667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70-4BA2-9C63-9EA507718493}"/>
            </c:ext>
          </c:extLst>
        </c:ser>
        <c:ser>
          <c:idx val="3"/>
          <c:order val="3"/>
          <c:tx>
            <c:strRef>
              <c:f>'2014 Customer Survey'!$A$227</c:f>
              <c:strCache>
                <c:ptCount val="1"/>
                <c:pt idx="0">
                  <c:v>Pac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'2014 Customer Survey'!$B$228:$E$228</c:f>
              <c:numCache>
                <c:formatCode>0.00</c:formatCode>
                <c:ptCount val="4"/>
                <c:pt idx="0">
                  <c:v>4.4000000000000004</c:v>
                </c:pt>
                <c:pt idx="1">
                  <c:v>3.9</c:v>
                </c:pt>
                <c:pt idx="2">
                  <c:v>4.0999999999999996</c:v>
                </c:pt>
                <c:pt idx="3">
                  <c:v>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70-4BA2-9C63-9EA507718493}"/>
            </c:ext>
          </c:extLst>
        </c:ser>
        <c:ser>
          <c:idx val="4"/>
          <c:order val="4"/>
          <c:tx>
            <c:strRef>
              <c:f>'2014 Customer Survey'!$A$233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'2014 Customer Survey'!$B$234:$E$234</c:f>
              <c:numCache>
                <c:formatCode>0.00</c:formatCode>
                <c:ptCount val="4"/>
                <c:pt idx="0">
                  <c:v>3.8</c:v>
                </c:pt>
                <c:pt idx="1">
                  <c:v>4.0999999999999996</c:v>
                </c:pt>
                <c:pt idx="2">
                  <c:v>3</c:v>
                </c:pt>
                <c:pt idx="3">
                  <c:v>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70-4BA2-9C63-9EA507718493}"/>
            </c:ext>
          </c:extLst>
        </c:ser>
        <c:ser>
          <c:idx val="5"/>
          <c:order val="5"/>
          <c:tx>
            <c:strRef>
              <c:f>'2014 Customer Survey'!$A$203</c:f>
              <c:strCache>
                <c:ptCount val="1"/>
                <c:pt idx="0">
                  <c:v>Overall</c:v>
                </c:pt>
              </c:strCache>
            </c:strRef>
          </c:tx>
          <c:spPr>
            <a:pattFill prst="smCheck">
              <a:fgClr>
                <a:schemeClr val="bg1">
                  <a:lumMod val="75000"/>
                </a:schemeClr>
              </a:fgClr>
              <a:bgClr>
                <a:schemeClr val="bg1"/>
              </a:bgClr>
            </a:pattFill>
            <a:ln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  <c:invertIfNegative val="0"/>
          <c:val>
            <c:numRef>
              <c:f>'2014 Customer Survey'!$B$204:$E$204</c:f>
              <c:numCache>
                <c:formatCode>0.00</c:formatCode>
                <c:ptCount val="4"/>
                <c:pt idx="0">
                  <c:v>4.3949999999999996</c:v>
                </c:pt>
                <c:pt idx="1">
                  <c:v>4.165</c:v>
                </c:pt>
                <c:pt idx="2">
                  <c:v>3.67</c:v>
                </c:pt>
                <c:pt idx="3">
                  <c:v>4.1399999999999997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070-4BA2-9C63-9EA507718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86936832"/>
        <c:axId val="1286927680"/>
      </c:barChart>
      <c:catAx>
        <c:axId val="128693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927680"/>
        <c:crosses val="autoZero"/>
        <c:auto val="1"/>
        <c:lblAlgn val="ctr"/>
        <c:lblOffset val="100"/>
        <c:noMultiLvlLbl val="0"/>
      </c:catAx>
      <c:valAx>
        <c:axId val="128692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936832"/>
        <c:crosses val="autoZero"/>
        <c:crossBetween val="between"/>
        <c:majorUnit val="1"/>
        <c:minorUnit val="1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4" Type="http://schemas.openxmlformats.org/officeDocument/2006/relationships/chart" Target="../charts/chart2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5" Type="http://schemas.openxmlformats.org/officeDocument/2006/relationships/chart" Target="../charts/chart30.xml"/><Relationship Id="rId4" Type="http://schemas.openxmlformats.org/officeDocument/2006/relationships/chart" Target="../charts/chart2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4" Type="http://schemas.openxmlformats.org/officeDocument/2006/relationships/chart" Target="../charts/chart34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0</xdr:row>
      <xdr:rowOff>0</xdr:rowOff>
    </xdr:from>
    <xdr:to>
      <xdr:col>14</xdr:col>
      <xdr:colOff>590550</xdr:colOff>
      <xdr:row>13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87FFB6-4953-42B2-9429-ACD0FECF17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133350</xdr:colOff>
      <xdr:row>12</xdr:row>
      <xdr:rowOff>152400</xdr:rowOff>
    </xdr:from>
    <xdr:to>
      <xdr:col>14</xdr:col>
      <xdr:colOff>590550</xdr:colOff>
      <xdr:row>25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EBD6A1-A210-4150-B2EF-F87DA640E4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133350</xdr:colOff>
      <xdr:row>26</xdr:row>
      <xdr:rowOff>0</xdr:rowOff>
    </xdr:from>
    <xdr:to>
      <xdr:col>14</xdr:col>
      <xdr:colOff>590550</xdr:colOff>
      <xdr:row>39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D43037-97B6-4A88-9B43-40AC6B55E6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133350</xdr:colOff>
      <xdr:row>39</xdr:row>
      <xdr:rowOff>9525</xdr:rowOff>
    </xdr:from>
    <xdr:to>
      <xdr:col>14</xdr:col>
      <xdr:colOff>590550</xdr:colOff>
      <xdr:row>54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E97B58-CA2D-459E-A90F-05C97A556E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133350</xdr:colOff>
      <xdr:row>54</xdr:row>
      <xdr:rowOff>19050</xdr:rowOff>
    </xdr:from>
    <xdr:to>
      <xdr:col>14</xdr:col>
      <xdr:colOff>590550</xdr:colOff>
      <xdr:row>67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D01D439-1414-4531-8F8D-05E6C7522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604836</xdr:colOff>
      <xdr:row>0</xdr:row>
      <xdr:rowOff>9524</xdr:rowOff>
    </xdr:from>
    <xdr:to>
      <xdr:col>23</xdr:col>
      <xdr:colOff>238125</xdr:colOff>
      <xdr:row>17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F6ED86-36F3-4EFD-ABFF-0C91A65CE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290513</xdr:colOff>
      <xdr:row>0</xdr:row>
      <xdr:rowOff>0</xdr:rowOff>
    </xdr:from>
    <xdr:to>
      <xdr:col>15</xdr:col>
      <xdr:colOff>390525</xdr:colOff>
      <xdr:row>12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F52E66-D47D-4B51-A588-1A53B92B3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295275</xdr:colOff>
      <xdr:row>12</xdr:row>
      <xdr:rowOff>47625</xdr:rowOff>
    </xdr:from>
    <xdr:to>
      <xdr:col>15</xdr:col>
      <xdr:colOff>395287</xdr:colOff>
      <xdr:row>24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AF5A8D-87C4-4E43-B922-93A52B35E0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295275</xdr:colOff>
      <xdr:row>24</xdr:row>
      <xdr:rowOff>66675</xdr:rowOff>
    </xdr:from>
    <xdr:to>
      <xdr:col>15</xdr:col>
      <xdr:colOff>395287</xdr:colOff>
      <xdr:row>36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6895FD-73CC-4DBF-8815-12537F38A1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295275</xdr:colOff>
      <xdr:row>36</xdr:row>
      <xdr:rowOff>85725</xdr:rowOff>
    </xdr:from>
    <xdr:to>
      <xdr:col>15</xdr:col>
      <xdr:colOff>395287</xdr:colOff>
      <xdr:row>48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98D8D2-3D35-4280-9503-3E00BB2E92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304800</xdr:colOff>
      <xdr:row>48</xdr:row>
      <xdr:rowOff>104775</xdr:rowOff>
    </xdr:from>
    <xdr:to>
      <xdr:col>15</xdr:col>
      <xdr:colOff>404812</xdr:colOff>
      <xdr:row>60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ABD4495-F5A2-479A-AA56-3DB5C48483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461962</xdr:colOff>
      <xdr:row>0</xdr:row>
      <xdr:rowOff>0</xdr:rowOff>
    </xdr:from>
    <xdr:to>
      <xdr:col>24</xdr:col>
      <xdr:colOff>352425</xdr:colOff>
      <xdr:row>16</xdr:row>
      <xdr:rowOff>28574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141EE39-9768-479E-A38F-1E1FBC8976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11208</xdr:colOff>
      <xdr:row>0</xdr:row>
      <xdr:rowOff>11206</xdr:rowOff>
    </xdr:from>
    <xdr:to>
      <xdr:col>15</xdr:col>
      <xdr:colOff>268942</xdr:colOff>
      <xdr:row>19</xdr:row>
      <xdr:rowOff>112059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56C711-000F-4FA0-8C86-3D31C2CED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257737</xdr:colOff>
      <xdr:row>0</xdr:row>
      <xdr:rowOff>0</xdr:rowOff>
    </xdr:from>
    <xdr:to>
      <xdr:col>23</xdr:col>
      <xdr:colOff>313766</xdr:colOff>
      <xdr:row>19</xdr:row>
      <xdr:rowOff>112059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8E816E2-1E08-492D-9A47-5FE22E9D6F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662827</xdr:colOff>
      <xdr:row>19</xdr:row>
      <xdr:rowOff>118783</xdr:rowOff>
    </xdr:from>
    <xdr:to>
      <xdr:col>15</xdr:col>
      <xdr:colOff>268941</xdr:colOff>
      <xdr:row>37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352C35-9DAB-4D2E-925D-9AC61C6DD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280147</xdr:colOff>
      <xdr:row>19</xdr:row>
      <xdr:rowOff>118781</xdr:rowOff>
    </xdr:from>
    <xdr:to>
      <xdr:col>22</xdr:col>
      <xdr:colOff>100853</xdr:colOff>
      <xdr:row>37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F83D1D-623A-433D-8C96-D1A2AC658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40822</xdr:colOff>
      <xdr:row>1</xdr:row>
      <xdr:rowOff>9525</xdr:rowOff>
    </xdr:from>
    <xdr:to>
      <xdr:col>19</xdr:col>
      <xdr:colOff>123825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86D71B-AAF6-4A45-B128-01466D0BF9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133351</xdr:colOff>
      <xdr:row>17</xdr:row>
      <xdr:rowOff>14287</xdr:rowOff>
    </xdr:from>
    <xdr:to>
      <xdr:col>23</xdr:col>
      <xdr:colOff>1265466</xdr:colOff>
      <xdr:row>34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2F073B-0E18-4338-ABE0-C0B066327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40823</xdr:colOff>
      <xdr:row>17</xdr:row>
      <xdr:rowOff>33336</xdr:rowOff>
    </xdr:from>
    <xdr:to>
      <xdr:col>19</xdr:col>
      <xdr:colOff>123826</xdr:colOff>
      <xdr:row>34</xdr:row>
      <xdr:rowOff>28574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93199D4-51A5-4E62-B255-51172B3506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1282701</xdr:colOff>
      <xdr:row>0</xdr:row>
      <xdr:rowOff>515264</xdr:rowOff>
    </xdr:from>
    <xdr:to>
      <xdr:col>30</xdr:col>
      <xdr:colOff>408215</xdr:colOff>
      <xdr:row>17</xdr:row>
      <xdr:rowOff>73485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C9FE485-3BC1-D345-AFF7-A61BDB3ED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138113</xdr:colOff>
      <xdr:row>1</xdr:row>
      <xdr:rowOff>0</xdr:rowOff>
    </xdr:from>
    <xdr:to>
      <xdr:col>23</xdr:col>
      <xdr:colOff>1265466</xdr:colOff>
      <xdr:row>17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E15762-B49F-40F1-9D1B-2AD718562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1</xdr:row>
      <xdr:rowOff>9525</xdr:rowOff>
    </xdr:from>
    <xdr:to>
      <xdr:col>13</xdr:col>
      <xdr:colOff>504825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303902-1C4A-4FFF-B36D-469A93A16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528637</xdr:colOff>
      <xdr:row>0</xdr:row>
      <xdr:rowOff>171449</xdr:rowOff>
    </xdr:from>
    <xdr:to>
      <xdr:col>21</xdr:col>
      <xdr:colOff>171450</xdr:colOff>
      <xdr:row>17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DA4F41-A596-4D2A-9CE3-EEB67420C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17</xdr:row>
      <xdr:rowOff>92082</xdr:rowOff>
    </xdr:from>
    <xdr:to>
      <xdr:col>13</xdr:col>
      <xdr:colOff>504825</xdr:colOff>
      <xdr:row>33</xdr:row>
      <xdr:rowOff>47626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241D7B-76D3-6A43-8F47-D2A4009C7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561975</xdr:colOff>
      <xdr:row>17</xdr:row>
      <xdr:rowOff>133356</xdr:rowOff>
    </xdr:from>
    <xdr:to>
      <xdr:col>21</xdr:col>
      <xdr:colOff>409575</xdr:colOff>
      <xdr:row>34</xdr:row>
      <xdr:rowOff>123831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EC5C90-65A0-4DDE-8779-1AF2D748E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40822</xdr:colOff>
      <xdr:row>1</xdr:row>
      <xdr:rowOff>5128</xdr:rowOff>
    </xdr:from>
    <xdr:to>
      <xdr:col>17</xdr:col>
      <xdr:colOff>657225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BD2F9D-848B-4EB6-9287-4D8AC146B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676272</xdr:colOff>
      <xdr:row>1</xdr:row>
      <xdr:rowOff>5861</xdr:rowOff>
    </xdr:from>
    <xdr:to>
      <xdr:col>23</xdr:col>
      <xdr:colOff>257175</xdr:colOff>
      <xdr:row>17</xdr:row>
      <xdr:rowOff>149679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18625D-9013-4367-947B-0D2E5F652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734785</xdr:colOff>
      <xdr:row>17</xdr:row>
      <xdr:rowOff>150358</xdr:rowOff>
    </xdr:from>
    <xdr:to>
      <xdr:col>23</xdr:col>
      <xdr:colOff>306160</xdr:colOff>
      <xdr:row>34</xdr:row>
      <xdr:rowOff>20411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E6EE95-A7A3-44C4-91D5-14C680F853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40822</xdr:colOff>
      <xdr:row>17</xdr:row>
      <xdr:rowOff>108857</xdr:rowOff>
    </xdr:from>
    <xdr:to>
      <xdr:col>17</xdr:col>
      <xdr:colOff>734105</xdr:colOff>
      <xdr:row>34</xdr:row>
      <xdr:rowOff>6805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24E23B-4387-4558-98D0-8FC0AEDF6E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273050</xdr:colOff>
      <xdr:row>1</xdr:row>
      <xdr:rowOff>12706</xdr:rowOff>
    </xdr:from>
    <xdr:to>
      <xdr:col>29</xdr:col>
      <xdr:colOff>82550</xdr:colOff>
      <xdr:row>17</xdr:row>
      <xdr:rowOff>101606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57B83C4-11FD-6A4F-A7DC-27DAD52932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585787</xdr:colOff>
      <xdr:row>0</xdr:row>
      <xdr:rowOff>161925</xdr:rowOff>
    </xdr:from>
    <xdr:to>
      <xdr:col>14</xdr:col>
      <xdr:colOff>552450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D7B760-D342-43C8-9FCC-55F47D825F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557212</xdr:colOff>
      <xdr:row>1</xdr:row>
      <xdr:rowOff>0</xdr:rowOff>
    </xdr:from>
    <xdr:to>
      <xdr:col>22</xdr:col>
      <xdr:colOff>142875</xdr:colOff>
      <xdr:row>16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5DC0E2-AA6E-4649-A44B-38F75CBD0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584200</xdr:colOff>
      <xdr:row>16</xdr:row>
      <xdr:rowOff>6</xdr:rowOff>
    </xdr:from>
    <xdr:to>
      <xdr:col>14</xdr:col>
      <xdr:colOff>542925</xdr:colOff>
      <xdr:row>32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255CFC-5431-6849-BE1B-A1235273D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566737</xdr:colOff>
      <xdr:row>16</xdr:row>
      <xdr:rowOff>19056</xdr:rowOff>
    </xdr:from>
    <xdr:to>
      <xdr:col>22</xdr:col>
      <xdr:colOff>414337</xdr:colOff>
      <xdr:row>33</xdr:row>
      <xdr:rowOff>9531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3F5973-FA96-4391-AB40-A64F79CB54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23812</xdr:rowOff>
    </xdr:from>
    <xdr:to>
      <xdr:col>10</xdr:col>
      <xdr:colOff>9525</xdr:colOff>
      <xdr:row>18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3245C4-CDB6-4CB5-88BC-0AAC3C8EF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33337</xdr:colOff>
      <xdr:row>1</xdr:row>
      <xdr:rowOff>23812</xdr:rowOff>
    </xdr:from>
    <xdr:to>
      <xdr:col>16</xdr:col>
      <xdr:colOff>28575</xdr:colOff>
      <xdr:row>17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F7AF78-76D8-4502-A47F-B2834AC27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109903</xdr:colOff>
      <xdr:row>0</xdr:row>
      <xdr:rowOff>0</xdr:rowOff>
    </xdr:from>
    <xdr:to>
      <xdr:col>12</xdr:col>
      <xdr:colOff>527538</xdr:colOff>
      <xdr:row>207</xdr:row>
      <xdr:rowOff>73268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7331C5-017D-4D1D-8430-24D94C286C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FD2D9E-F967-41B5-B958-49DBA7B9EB40}" name="Table1" displayName="Table1" ref="A4:I9" totalsRowShown="0" headerRowDxfId="87" tableBorderDxfId="86">
  <autoFilter ref="A4:I9" xr:uid="{24FD2D9E-F967-41B5-B958-49DBA7B9EB40}"/>
  <tableColumns count="9">
    <tableColumn id="1" xr3:uid="{CBAE22CE-A26C-4A35-A456-EE68AABB7A99}" name="Year" dataDxfId="85"/>
    <tableColumn id="2" xr3:uid="{4D89527C-11E6-4DFE-B482-0864006F0D82}" name="0"/>
    <tableColumn id="3" xr3:uid="{BADA6BA2-0415-4A4F-BF20-4E77BCE1E587}" name="1"/>
    <tableColumn id="4" xr3:uid="{31479353-9ECF-4C82-BEF3-3641D1D83AB6}" name="2"/>
    <tableColumn id="5" xr3:uid="{CC414012-B5F2-42D0-ACB3-80C2E574BA0F}" name="3"/>
    <tableColumn id="6" xr3:uid="{2609502C-9ECC-47BF-A6BE-8FD3B5DF934C}" name="4"/>
    <tableColumn id="7" xr3:uid="{EF492613-0B58-4F11-A1CA-8DC7E06EFF7A}" name="5"/>
    <tableColumn id="8" xr3:uid="{6D52716A-9D44-48F7-8821-BC7378BE0D13}" name="Samples">
      <calculatedColumnFormula>SUM(B5:G5)</calculatedColumnFormula>
    </tableColumn>
    <tableColumn id="9" xr3:uid="{6ECFD29D-8844-454F-9EAE-F5619B2945F3}" name="Mean" dataDxfId="84">
      <calculatedColumnFormula>SUM(Table1[[#Headers],[0]]*Table1[[#This Row],[0]], Table1[[#Headers],[1]]*Table1[[#This Row],[1]],Table1[[#Headers],[2]]*Table1[[#This Row],[2]],Table1[[#Headers],[3]]*Table1[[#This Row],[3]],Table1[[#Headers],[4]]*Table1[[#This Row],[4]],Table1[[#Headers],[5]]*Table1[[#This Row],[5]])/Table1[[#This Row],[Samples]]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DC95EB-A662-48F7-AA62-BA7BEAA7526E}" name="Table2" displayName="Table2" ref="A14:I19" totalsRowShown="0" headerRowDxfId="83" tableBorderDxfId="82">
  <autoFilter ref="A14:I19" xr:uid="{40DC95EB-A662-48F7-AA62-BA7BEAA7526E}"/>
  <tableColumns count="9">
    <tableColumn id="1" xr3:uid="{F95EBC0B-1927-4C3C-B959-B4F3AA0159B9}" name="Year" dataDxfId="81"/>
    <tableColumn id="2" xr3:uid="{26821B35-609A-45AA-87E8-10C246BC2BC9}" name="0"/>
    <tableColumn id="3" xr3:uid="{0D3B8BD0-BA05-4B59-9773-F544F61CB676}" name="1"/>
    <tableColumn id="4" xr3:uid="{0058FABF-9E4A-4D6C-AD87-FCA70D66B614}" name="2"/>
    <tableColumn id="5" xr3:uid="{362ACA60-0FCE-4144-8EEB-8016C2A34558}" name="3"/>
    <tableColumn id="6" xr3:uid="{4F3021EF-95CD-44FD-89D1-0A06B272B0A0}" name="4"/>
    <tableColumn id="7" xr3:uid="{15E9D806-9A7F-4743-84A4-A248CF6389FF}" name="5"/>
    <tableColumn id="8" xr3:uid="{EB2CACE2-FFC4-4AC7-B3EF-FA9ADE7D269B}" name="Samples">
      <calculatedColumnFormula>SUM(B15:G15)</calculatedColumnFormula>
    </tableColumn>
    <tableColumn id="9" xr3:uid="{1EB5C1B9-F9BC-40F9-9C9A-C5CA38AC6AD5}" name="Mean" dataDxfId="80">
      <calculatedColumnFormula>SUM(Table2[[#Headers],[0]]*Table2[[#This Row],[0]], Table2[[#Headers],[1]]*Table2[[#This Row],[1]],Table2[[#Headers],[2]]*Table2[[#This Row],[2]],Table2[[#Headers],[3]]*Table2[[#This Row],[3]],Table2[[#Headers],[4]]*Table2[[#This Row],[4]],Table2[[#Headers],[5]]*Table2[[#This Row],[5]])/Table2[[#This Row],[Samples]]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C79910-E4B5-4B65-8A54-7167C87C6D60}" name="Table3" displayName="Table3" ref="A24:I29" totalsRowShown="0" headerRowDxfId="79" tableBorderDxfId="78">
  <autoFilter ref="A24:I29" xr:uid="{E4C79910-E4B5-4B65-8A54-7167C87C6D60}"/>
  <tableColumns count="9">
    <tableColumn id="1" xr3:uid="{378BBE1A-2A85-4C64-AEAC-D010327E586B}" name="Year" dataDxfId="77"/>
    <tableColumn id="2" xr3:uid="{F0EA08AD-6F5D-46BC-B612-9BB0A0807C25}" name="0"/>
    <tableColumn id="3" xr3:uid="{57E77262-6F39-4177-BBA4-2A8F4E895F19}" name="1"/>
    <tableColumn id="4" xr3:uid="{BBA17AA6-7E40-4383-9885-65B147E29B3D}" name="2"/>
    <tableColumn id="5" xr3:uid="{58AF6CF9-3D83-4431-A777-244DE192F0ED}" name="3"/>
    <tableColumn id="6" xr3:uid="{493B5B6E-8F14-402F-B729-912A0FCC4361}" name="4"/>
    <tableColumn id="7" xr3:uid="{94F8AF33-1C0B-44D0-BEED-50C89C2B223F}" name="5"/>
    <tableColumn id="8" xr3:uid="{6E93FD10-C129-4B6D-A34E-DC928530309D}" name="Samples">
      <calculatedColumnFormula>SUM(B25:G25)</calculatedColumnFormula>
    </tableColumn>
    <tableColumn id="9" xr3:uid="{605AC305-ECC8-43B8-98B6-8EE5E559516C}" name="Mean" dataDxfId="76">
      <calculatedColumnFormula>SUM(Table3[[#Headers],[0]]*Table3[[#This Row],[0]], Table3[[#Headers],[1]]*Table3[[#This Row],[1]],Table3[[#Headers],[2]]*Table3[[#This Row],[2]],Table3[[#Headers],[3]]*Table3[[#This Row],[3]],Table3[[#Headers],[4]]*Table3[[#This Row],[4]],Table3[[#Headers],[5]]*Table3[[#This Row],[5]])/Table3[[#This Row],[Samples]]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B91545-0114-42A5-A6A6-AC4486063CA2}" name="Table4" displayName="Table4" ref="A34:I39" totalsRowShown="0" headerRowDxfId="75" tableBorderDxfId="74">
  <autoFilter ref="A34:I39" xr:uid="{73B91545-0114-42A5-A6A6-AC4486063CA2}"/>
  <tableColumns count="9">
    <tableColumn id="1" xr3:uid="{77FDE581-0102-4F46-9D19-04A98FC145A0}" name="Year" dataDxfId="73"/>
    <tableColumn id="2" xr3:uid="{D52178E1-B3F1-4523-9C6E-BBF4A563D303}" name="0"/>
    <tableColumn id="3" xr3:uid="{F673F49A-769B-40D5-A110-46C6BAACA287}" name="1"/>
    <tableColumn id="4" xr3:uid="{2FB2C18D-74CE-44B8-95F8-5E759B1C7473}" name="2"/>
    <tableColumn id="5" xr3:uid="{3F1A93C1-4516-4F29-B1BE-AC119430782E}" name="3"/>
    <tableColumn id="6" xr3:uid="{5E83E354-2753-4F44-B24E-AFDF69219CB3}" name="4"/>
    <tableColumn id="7" xr3:uid="{7EC1B2A2-C005-4D65-8467-CD95DAD92BF3}" name="5"/>
    <tableColumn id="8" xr3:uid="{2DE1E5FF-E333-48EA-B221-2D6B77C377A9}" name="Samples">
      <calculatedColumnFormula>SUM(B35:G35)</calculatedColumnFormula>
    </tableColumn>
    <tableColumn id="9" xr3:uid="{D8117882-E305-4610-B2D0-E36E33EFFB16}" name="Mean" dataDxfId="72">
      <calculatedColumnFormula>SUM(Table4[[#Headers],[0]]*Table4[[#This Row],[0]], Table4[[#Headers],[1]]*Table4[[#This Row],[1]],Table4[[#Headers],[2]]*Table4[[#This Row],[2]],Table4[[#Headers],[3]]*Table4[[#This Row],[3]],Table4[[#Headers],[4]]*Table4[[#This Row],[4]],Table4[[#Headers],[5]]*Table4[[#This Row],[5]])/Table4[[#This Row],[Samples]]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826C96-8537-4870-9A93-6D68BB796D08}" name="Table5" displayName="Table5" ref="A44:I49" totalsRowShown="0" headerRowDxfId="71" tableBorderDxfId="70">
  <autoFilter ref="A44:I49" xr:uid="{EE826C96-8537-4870-9A93-6D68BB796D08}"/>
  <tableColumns count="9">
    <tableColumn id="1" xr3:uid="{7CECB16C-E9C9-4938-AA90-1C60CE6F926A}" name="Year" dataDxfId="69"/>
    <tableColumn id="2" xr3:uid="{A236C9FF-54BD-49CC-A354-BF115A866EB4}" name="0"/>
    <tableColumn id="3" xr3:uid="{A65A424C-B2A6-4AA9-AB1E-AF950040152F}" name="1"/>
    <tableColumn id="4" xr3:uid="{7EB57949-E33A-4591-A7DA-950170B37EBB}" name="2"/>
    <tableColumn id="5" xr3:uid="{DF31A43F-4808-467B-9C26-F3313D8D1256}" name="3"/>
    <tableColumn id="6" xr3:uid="{991AB97D-7727-4CDA-A9B8-14D182457E25}" name="4"/>
    <tableColumn id="7" xr3:uid="{CE7BB654-B537-475F-9D66-27B9FAC85A64}" name="5"/>
    <tableColumn id="8" xr3:uid="{8B74A806-F7B1-4758-97F6-769EE2068ADE}" name="Samples">
      <calculatedColumnFormula>SUM(B45:G45)</calculatedColumnFormula>
    </tableColumn>
    <tableColumn id="9" xr3:uid="{03646767-0C31-4656-B37A-018CA19413B7}" name="Mean" dataDxfId="68">
      <calculatedColumnFormula>SUM(Table5[[#Headers],[0]]*Table5[[#This Row],[0]], Table5[[#Headers],[1]]*Table5[[#This Row],[1]],Table5[[#Headers],[2]]*Table5[[#This Row],[2]],Table5[[#Headers],[3]]*Table5[[#This Row],[3]],Table5[[#Headers],[4]]*Table5[[#This Row],[4]],Table5[[#Headers],[5]]*Table5[[#This Row],[5]])/Table5[[#This Row],[Samples]]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0B285E-744F-4F8D-8DDB-C85571BA2738}" name="Table6" displayName="Table6" ref="A54:I59" totalsRowShown="0">
  <autoFilter ref="A54:I59" xr:uid="{770B285E-744F-4F8D-8DDB-C85571BA2738}"/>
  <tableColumns count="9">
    <tableColumn id="1" xr3:uid="{9DB4D09F-FE20-4C02-9499-3BA584E3E34F}" name="Year"/>
    <tableColumn id="2" xr3:uid="{A34DEF1D-7C17-498C-B588-AE0DF844C1AE}" name="0" dataDxfId="67">
      <calculatedColumnFormula>SUM(B5,B15,B25,B35,B45)</calculatedColumnFormula>
    </tableColumn>
    <tableColumn id="3" xr3:uid="{8660DE42-5C0D-4267-B7DB-69D7BD000D64}" name="1" dataDxfId="66">
      <calculatedColumnFormula>SUM(C5,C15,C25,C35,C45)</calculatedColumnFormula>
    </tableColumn>
    <tableColumn id="4" xr3:uid="{782F7ED3-BDBC-4FBB-92C0-4FF73F557A50}" name="2" dataDxfId="65">
      <calculatedColumnFormula>SUM(D5,D15,D25,D35,D45)</calculatedColumnFormula>
    </tableColumn>
    <tableColumn id="5" xr3:uid="{4DA1CFDB-3E50-4E07-88DE-D70F6B0C0E77}" name="3" dataDxfId="64">
      <calculatedColumnFormula>SUM(E5,E15,E25,E35,E45)</calculatedColumnFormula>
    </tableColumn>
    <tableColumn id="6" xr3:uid="{EADACE8F-0450-4A1F-B1FB-62E5BC694A6D}" name="4" dataDxfId="63">
      <calculatedColumnFormula>SUM(F5,F15,F25,F35,F45)</calculatedColumnFormula>
    </tableColumn>
    <tableColumn id="7" xr3:uid="{458151C6-9A20-4D62-9FDA-44E50BE99A13}" name="5" dataDxfId="62">
      <calculatedColumnFormula>SUM(G5,G15,G25,G35,G45)</calculatedColumnFormula>
    </tableColumn>
    <tableColumn id="8" xr3:uid="{D4366CA7-134F-4D40-A87D-B60F6C43D512}" name="Samples" dataDxfId="61">
      <calculatedColumnFormula>SUM(H5,H15,H25,H35,H45)</calculatedColumnFormula>
    </tableColumn>
    <tableColumn id="9" xr3:uid="{B8285C5A-E561-41C4-B64A-70CF85A06072}" name="Mean" dataDxfId="60">
      <calculatedColumnFormula>SUM(Table6[[#Headers],[0]]*Table6[[#This Row],[0]], Table6[[#Headers],[1]]*Table6[[#This Row],[1]],Table6[[#Headers],[2]]*Table6[[#This Row],[2]],Table6[[#Headers],[3]]*Table6[[#This Row],[3]],Table6[[#Headers],[4]]*Table6[[#This Row],[4]],Table6[[#Headers],[5]]*Table6[[#This Row],[5]])/Table6[[#This Row],[Samples]]</calculatedColumnFormula>
    </tableColumn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ECFEB5-9C83-4B22-98CE-0CBA48991B82}" name="Table7" displayName="Table7" ref="A4:I9" totalsRowShown="0" headerRowCellStyle="Normal" dataCellStyle="Normal">
  <autoFilter ref="A4:I9" xr:uid="{2BECFEB5-9C83-4B22-98CE-0CBA48991B82}"/>
  <tableColumns count="9">
    <tableColumn id="1" xr3:uid="{E09141F3-93B7-465A-B8AA-88E258CED7B6}" name="Year" dataCellStyle="Normal"/>
    <tableColumn id="2" xr3:uid="{96EA7ADF-481D-4853-B9CA-1E00A8EC7E64}" name="0" dataCellStyle="Normal"/>
    <tableColumn id="3" xr3:uid="{6FD32648-136F-4117-9D8B-3B88338701E5}" name="1" dataCellStyle="Normal"/>
    <tableColumn id="4" xr3:uid="{069119C5-CF04-44A9-BC79-90743C3D67E5}" name="2" dataCellStyle="Normal"/>
    <tableColumn id="5" xr3:uid="{436D9821-1B1F-4701-BCE4-52C34FE80A4A}" name="3" dataCellStyle="Normal"/>
    <tableColumn id="6" xr3:uid="{B2386A5F-7467-4856-A3BC-3D1225B13A76}" name="4" dataCellStyle="Normal"/>
    <tableColumn id="7" xr3:uid="{AE052766-055E-40BC-B527-BFB28A0BC11E}" name="5" dataCellStyle="Normal"/>
    <tableColumn id="8" xr3:uid="{ABC8F1D3-800D-4978-B9C0-2C4DF4A35B7B}" name="Samples" dataCellStyle="Normal">
      <calculatedColumnFormula>SUM(B5:G5)</calculatedColumnFormula>
    </tableColumn>
    <tableColumn id="9" xr3:uid="{EB37E81C-16D1-4049-8C5C-100C36C4CE1A}" name="Mean" dataDxfId="5" dataCellStyle="Percent">
      <calculatedColumnFormula array="1">SUMPRODUCT(Table7[[#This Row],[0]:[5]],_xlfn.NUMBERVALUE(Table7[[#Headers],[0]:[5]]))/Table7[[#This Row],[Samples]]</calculatedColumn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99DC075-6AFE-44F0-8AF5-DF459B1C4AA6}" name="Table8" displayName="Table8" ref="A12:I17" totalsRowShown="0" headerRowCellStyle="Normal" dataCellStyle="Normal">
  <autoFilter ref="A12:I17" xr:uid="{B99DC075-6AFE-44F0-8AF5-DF459B1C4AA6}"/>
  <tableColumns count="9">
    <tableColumn id="1" xr3:uid="{35A724AE-EDEB-460E-9674-1DA4364F0C6F}" name="Year" dataCellStyle="Normal"/>
    <tableColumn id="2" xr3:uid="{6A307938-6875-4F99-8E38-14C0B4F88FB5}" name="0" dataCellStyle="Normal"/>
    <tableColumn id="3" xr3:uid="{ADC396B2-8D19-4C23-8671-61E87F876C23}" name="1" dataCellStyle="Normal"/>
    <tableColumn id="4" xr3:uid="{122AFDD0-3F9D-4B63-81B8-DC43F07A2760}" name="2" dataCellStyle="Normal"/>
    <tableColumn id="5" xr3:uid="{CF3485CD-A9A8-427A-A59A-56280EEB94F1}" name="3" dataCellStyle="Normal"/>
    <tableColumn id="6" xr3:uid="{2A32FD62-6376-4BAA-A999-89D479D98C8E}" name="4" dataCellStyle="Normal"/>
    <tableColumn id="7" xr3:uid="{FC679BAC-ACB8-4558-9936-874BBAD35389}" name="5" dataCellStyle="Normal"/>
    <tableColumn id="8" xr3:uid="{B1B8AFBC-42F8-4A2E-ABB4-D91FA52C9802}" name="Samples" dataCellStyle="Normal">
      <calculatedColumnFormula>SUM(B13:G13)</calculatedColumnFormula>
    </tableColumn>
    <tableColumn id="9" xr3:uid="{A04433F1-67A8-412E-A70B-3894D7839B94}" name="Mean" dataDxfId="4" dataCellStyle="Percent">
      <calculatedColumnFormula array="1">SUMPRODUCT(Table8[[#This Row],[0]:[5]],_xlfn.NUMBERVALUE(Table8[[#Headers],[0]:[5]]))/Table8[[#This Row],[Samples]]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0F926E0-91FE-4478-A94D-81CDC06AFE7C}" name="Table9" displayName="Table9" ref="A20:I25" totalsRowShown="0" headerRowCellStyle="Normal" dataCellStyle="Normal">
  <autoFilter ref="A20:I25" xr:uid="{D0F926E0-91FE-4478-A94D-81CDC06AFE7C}"/>
  <tableColumns count="9">
    <tableColumn id="1" xr3:uid="{D9575DFB-176E-4EA2-827F-67800E10F925}" name="Year" dataCellStyle="Normal"/>
    <tableColumn id="2" xr3:uid="{82A1A70A-A1A3-4D09-A262-6DB5B92BED74}" name="0" dataCellStyle="Normal"/>
    <tableColumn id="3" xr3:uid="{79BF1AC9-6036-479F-A05B-E3DD82974CB3}" name="1" dataCellStyle="Normal"/>
    <tableColumn id="4" xr3:uid="{2736AB8D-CC30-4D35-BD93-1F8A989C1808}" name="2" dataCellStyle="Normal"/>
    <tableColumn id="5" xr3:uid="{877DB8C7-6EDA-4AEE-9651-523DFE85F794}" name="3" dataCellStyle="Normal"/>
    <tableColumn id="6" xr3:uid="{A9CD159C-151E-4609-9984-3770FCD968E6}" name="4" dataCellStyle="Normal"/>
    <tableColumn id="7" xr3:uid="{86D558AC-6BAA-4195-AB0A-AA6FBD70E59D}" name="5" dataCellStyle="Normal"/>
    <tableColumn id="8" xr3:uid="{ED2DFEE3-A0A6-46D0-8D1F-D81ECC9538E8}" name="Samples" dataCellStyle="Normal">
      <calculatedColumnFormula>SUM(B21:G21)</calculatedColumnFormula>
    </tableColumn>
    <tableColumn id="9" xr3:uid="{D1030B93-3575-4457-ABCE-E47FBC3FB786}" name="Mean" dataDxfId="3" dataCellStyle="Percent">
      <calculatedColumnFormula array="1">SUMPRODUCT(Table9[[#This Row],[0]:[5]],_xlfn.NUMBERVALUE(Table9[[#Headers],[0]:[5]]))/Table9[[#This Row],[Samples]]</calculatedColumnFormula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EF1FB57-4089-4584-B136-20BB04FC7CCC}" name="Table10" displayName="Table10" ref="A28:I33" totalsRowShown="0" headerRowCellStyle="Normal" dataCellStyle="Normal">
  <autoFilter ref="A28:I33" xr:uid="{BEF1FB57-4089-4584-B136-20BB04FC7CCC}"/>
  <tableColumns count="9">
    <tableColumn id="1" xr3:uid="{AAA4668C-29E5-4C18-80E0-C597B6D1CC78}" name="Year" dataCellStyle="Normal"/>
    <tableColumn id="2" xr3:uid="{E35CBBE0-E178-485B-9998-45C977A6665F}" name="0" dataCellStyle="Normal"/>
    <tableColumn id="3" xr3:uid="{28CCD0D2-E439-441D-A090-15EA5E95DB8C}" name="1" dataCellStyle="Normal"/>
    <tableColumn id="4" xr3:uid="{C04C31CB-308F-4B10-8A64-482D6B871DE3}" name="2" dataCellStyle="Normal"/>
    <tableColumn id="5" xr3:uid="{451C0055-3316-4307-AE23-7483F6891FEE}" name="3" dataCellStyle="Normal"/>
    <tableColumn id="6" xr3:uid="{5E49DA4E-07E3-4DA7-AA51-A52AD4405AF9}" name="4" dataCellStyle="Normal"/>
    <tableColumn id="7" xr3:uid="{B3279286-9775-454B-9D88-E5625747A56F}" name="5" dataCellStyle="Normal"/>
    <tableColumn id="8" xr3:uid="{F0CDC27F-459A-49BE-A186-8511BBBDFA06}" name="Samples" dataCellStyle="Normal">
      <calculatedColumnFormula>SUM(B29:G29)</calculatedColumnFormula>
    </tableColumn>
    <tableColumn id="9" xr3:uid="{A4E4933D-5B13-4DB8-BCE3-901A0E6FE431}" name="Mean" dataDxfId="2" dataCellStyle="Percent">
      <calculatedColumnFormula array="1">SUMPRODUCT(Table10[[#This Row],[0]:[5]],_xlfn.NUMBERVALUE(Table10[[#Headers],[0]:[5]]))/Table10[[#This Row],[Samples]]</calculatedColumnFormula>
    </tableColumn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1E937FD-73CD-4ED6-AE5B-B1A6AB78641B}" name="Table11" displayName="Table11" ref="A36:I41" totalsRowShown="0" headerRowCellStyle="Normal" dataCellStyle="Normal">
  <autoFilter ref="A36:I41" xr:uid="{41E937FD-73CD-4ED6-AE5B-B1A6AB78641B}"/>
  <tableColumns count="9">
    <tableColumn id="1" xr3:uid="{6C7CE832-5BCA-4E0B-BF1F-4135518629A0}" name="Year" dataCellStyle="Normal"/>
    <tableColumn id="2" xr3:uid="{57639B0B-DBB9-4BA6-AFF7-1FF04F6D4570}" name="0" dataCellStyle="Normal"/>
    <tableColumn id="3" xr3:uid="{5E5AB919-0715-4009-9AEA-E1DEADFE1352}" name="1" dataCellStyle="Normal"/>
    <tableColumn id="4" xr3:uid="{FFCA0435-2885-4E94-A6E5-6258B9097578}" name="2" dataCellStyle="Normal"/>
    <tableColumn id="5" xr3:uid="{BD39445D-1FC7-4D3C-A6AA-687387AD3541}" name="3" dataCellStyle="Normal"/>
    <tableColumn id="6" xr3:uid="{892C130E-572A-4320-9AF3-06C4A5A346E9}" name="4" dataCellStyle="Normal"/>
    <tableColumn id="7" xr3:uid="{4EFFF6CA-7F5F-4752-A5C2-4FD666FAE5D4}" name="5" dataCellStyle="Normal"/>
    <tableColumn id="8" xr3:uid="{75BD754A-F524-4F1B-87F1-F98723090DD7}" name="Samples" dataCellStyle="Normal"/>
    <tableColumn id="9" xr3:uid="{EC39C918-2654-40C4-A96E-73863FED3880}" name="Mean" dataDxfId="1" dataCellStyle="Percent">
      <calculatedColumnFormula array="1">SUMPRODUCT(Table11[[#This Row],[0]:[5]],_xlfn.NUMBERVALUE(Table11[[#Headers],[0]:[5]]))/Table11[[#This Row],[Samples]]</calculatedColumnFormula>
    </tableColumn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F18FE46-C2EC-44E2-8277-83C5BAA8AFF8}" name="Table12" displayName="Table12" ref="A44:I49" totalsRowShown="0" headerRowCellStyle="Normal" dataCellStyle="Normal">
  <autoFilter ref="A44:I49" xr:uid="{8F18FE46-C2EC-44E2-8277-83C5BAA8AFF8}"/>
  <tableColumns count="9">
    <tableColumn id="1" xr3:uid="{3121F18E-DEE7-47F8-9152-94A05F5A806B}" name="Year" dataCellStyle="Normal"/>
    <tableColumn id="2" xr3:uid="{14B4189A-30CA-411E-A216-C658B3550001}" name="0" dataCellStyle="Normal">
      <calculatedColumnFormula>SUM(B5,B13,B21,B29,B37)</calculatedColumnFormula>
    </tableColumn>
    <tableColumn id="3" xr3:uid="{9531911C-780B-42BE-9AF2-0D55C70C1A07}" name="1" dataCellStyle="Normal">
      <calculatedColumnFormula>SUM(C5,C13,C21,C29,C37)</calculatedColumnFormula>
    </tableColumn>
    <tableColumn id="4" xr3:uid="{B57BDDB5-4B13-4756-A28C-694A786DE372}" name="2" dataCellStyle="Normal">
      <calculatedColumnFormula>SUM(D5,D13,D21,D29,D37)</calculatedColumnFormula>
    </tableColumn>
    <tableColumn id="5" xr3:uid="{180620A4-69B4-43C4-A790-5990B280F7C4}" name="3" dataCellStyle="Normal">
      <calculatedColumnFormula>SUM(E5,E13,E21,E29,E37)</calculatedColumnFormula>
    </tableColumn>
    <tableColumn id="6" xr3:uid="{1F8B6A87-5CAE-4EEC-8AE2-D6AA79AC28B3}" name="4" dataCellStyle="Normal">
      <calculatedColumnFormula>SUM(F5,F13,F21,F29,F37)</calculatedColumnFormula>
    </tableColumn>
    <tableColumn id="7" xr3:uid="{A1E5CDE3-F38B-4BAA-9927-BE839D019997}" name="5" dataCellStyle="Normal">
      <calculatedColumnFormula>SUM(G5,G13,G21,G29,G37)</calculatedColumnFormula>
    </tableColumn>
    <tableColumn id="8" xr3:uid="{8671C4C7-7D32-44A0-902E-AF39BAD2A2D5}" name="Samples" dataCellStyle="Normal">
      <calculatedColumnFormula>SUM(H5,H13,H21,H29,H37)</calculatedColumnFormula>
    </tableColumn>
    <tableColumn id="9" xr3:uid="{C0E15360-AC01-462C-AC11-71307DB573DD}" name="Mean" dataDxfId="0" dataCellStyle="Percent">
      <calculatedColumnFormula array="1">SUMPRODUCT(Table12[[#This Row],[0]:[5]],_xlfn.NUMBERVALUE(Table12[[#Headers],[0]:[5]])/Table12[[#This Row],[Samples]])</calculatedColumnFormula>
    </tableColumn>
  </tableColumns>
  <tableStyleInfo name="TableStyleMedium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EB5E99C-0330-4281-AE23-53A8CCB4DC73}" name="Complaints" displayName="Complaints" ref="A1:H61" totalsRowShown="0" headerRowDxfId="8" headerRowBorderDxfId="51">
  <autoFilter ref="A1:H61" xr:uid="{FEB5E99C-0330-4281-AE23-53A8CCB4DC73}"/>
  <tableColumns count="8">
    <tableColumn id="1" xr3:uid="{4020372A-5B78-4D16-B0FA-9ABED70536D0}" name="Month" dataDxfId="50"/>
    <tableColumn id="2" xr3:uid="{285C3A81-90D9-4D99-AACD-F80C0AD800F8}" name="World">
      <calculatedColumnFormula>SUM(C2:G2)</calculatedColumnFormula>
    </tableColumn>
    <tableColumn id="3" xr3:uid="{C825C8B8-6D33-4F39-A58C-49F680679AD8}" name="NA"/>
    <tableColumn id="4" xr3:uid="{DE7BAB8F-E221-46A6-87CC-F62FAE0B9829}" name="SA"/>
    <tableColumn id="5" xr3:uid="{29C932CB-902E-46EA-9505-225822D8CD34}" name="Eur"/>
    <tableColumn id="6" xr3:uid="{C638F54C-C92B-45BC-AE83-4EB1F5314524}" name="Pac"/>
    <tableColumn id="7" xr3:uid="{AFD64CEB-5F34-4FBC-A1C1-1E5985F08AF0}" name="China"/>
    <tableColumn id="8" xr3:uid="{52520592-760F-4828-97D0-8A7B0B007951}" name="Complaints of Sales" dataDxfId="7" dataCellStyle="Percent">
      <calculatedColumnFormula>Complaints[[#This Row],[World]]/SUM(MowerSales[[#This Row],[World]],TractorSales[[#This Row],[World]])</calculatedColumnFormula>
    </tableColumn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D19BB0D-E978-4753-8173-587F40579240}" name="MowerSales" displayName="MowerSales" ref="A1:M61" totalsRowShown="0" headerRowDxfId="49" headerRowBorderDxfId="48">
  <autoFilter ref="A1:M61" xr:uid="{6D19BB0D-E978-4753-8173-587F40579240}"/>
  <tableColumns count="13">
    <tableColumn id="1" xr3:uid="{399F754F-C8F8-4D02-A5EF-B5DD65372368}" name="Month" dataDxfId="6"/>
    <tableColumn id="2" xr3:uid="{9AEAE44B-3987-4AD3-B256-BF3A0F098594}" name="NA"/>
    <tableColumn id="3" xr3:uid="{CD12B432-8EC3-4783-BAAA-50673597BAAA}" name="SA"/>
    <tableColumn id="4" xr3:uid="{AB14D623-435F-4E28-A93B-04662ED993D7}" name="Europe"/>
    <tableColumn id="5" xr3:uid="{FA488B9B-B317-42B2-9431-31CA103B527F}" name="Pacific"/>
    <tableColumn id="6" xr3:uid="{0820BEC0-1236-4EE4-B4E5-3ADC9896A668}" name="China"/>
    <tableColumn id="7" xr3:uid="{6351A08C-58A2-4E87-A9C2-6A55432CF212}" name="World" dataDxfId="47">
      <calculatedColumnFormula>SUM(MowerSales[[#This Row],[NA]],MowerSales[[#This Row],[SA]],MowerSales[[#This Row],[Europe]],MowerSales[[#This Row],[Pacific]],MowerSales[[#This Row],[China]])</calculatedColumnFormula>
    </tableColumn>
    <tableColumn id="13" xr3:uid="{0F6FEFBF-DC08-4CFC-9D58-810110A34EC9}" name="NA Market Share" dataDxfId="9">
      <calculatedColumnFormula>MowerSales[[#This Row],[NA]]/IndustryMowerSales[[#This Row],[NA]]</calculatedColumnFormula>
    </tableColumn>
    <tableColumn id="12" xr3:uid="{D31F69E1-F33C-4F79-B677-D0AE828D4427}" name="SA Market Share" dataDxfId="13">
      <calculatedColumnFormula>MowerSales[[#This Row],[SA]]/IndustryMowerSales[[#This Row],[SA]]</calculatedColumnFormula>
    </tableColumn>
    <tableColumn id="11" xr3:uid="{4F0A0A2A-682C-4D9B-8EA9-40CE9FF01454}" name="Europe Market Share" dataDxfId="12">
      <calculatedColumnFormula>MowerSales[[#This Row],[Europe]]/IndustryMowerSales[[#This Row],[Eur]]</calculatedColumnFormula>
    </tableColumn>
    <tableColumn id="10" xr3:uid="{BB2DA694-832C-471C-92F8-7C356F0FFA41}" name="Pacific Market Share" dataDxfId="11">
      <calculatedColumnFormula>MowerSales[[#This Row],[Pacific]]/IndustryMowerSales[[#This Row],[Pac]]</calculatedColumnFormula>
    </tableColumn>
    <tableColumn id="9" xr3:uid="{65416D59-5702-4BDB-946C-AFB632F93482}" name="China Market Share" dataDxfId="10"/>
    <tableColumn id="8" xr3:uid="{5F9A1F1A-CCCA-420E-9D31-AE41884A4E39}" name="World Market Share" dataDxfId="46">
      <calculatedColumnFormula>MowerSales[[#This Row],[World]]/IndustryMowerSales[[#This Row],[World]]</calculatedColumnFormula>
    </tableColumn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988C837-5780-4207-A695-A2FEF8AF4955}" name="IndustryMowerSales" displayName="IndustryMowerSales" ref="A1:F61" totalsRowShown="0" headerRowDxfId="35" headerRowBorderDxfId="34">
  <autoFilter ref="A1:F61" xr:uid="{F988C837-5780-4207-A695-A2FEF8AF4955}"/>
  <tableColumns count="6">
    <tableColumn id="1" xr3:uid="{1ABD67EE-A5C7-45EE-A5B6-7990B64F02BA}" name="Month" dataDxfId="33"/>
    <tableColumn id="2" xr3:uid="{DC4BD3FA-A626-4CE6-9BFC-6DABCF6B3DF1}" name="NA" dataDxfId="32"/>
    <tableColumn id="3" xr3:uid="{A2CE2D42-21EC-4554-B8FD-7849108A57C4}" name="SA" dataDxfId="31"/>
    <tableColumn id="4" xr3:uid="{71719B70-16D5-497A-8F00-40BD5DEE47AB}" name="Eur" dataDxfId="30"/>
    <tableColumn id="5" xr3:uid="{0614E661-8F93-43F5-B09C-DD6E53528430}" name="Pac" dataDxfId="29"/>
    <tableColumn id="6" xr3:uid="{4DDB954A-C57A-4787-A2C4-664658EBED38}" name="World" dataDxfId="28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C5D819F-736C-419B-A5F6-E7BF4C146452}" name="TractorSales" displayName="TractorSales" ref="A1:M61" totalsRowShown="0" headerRowDxfId="45" headerRowBorderDxfId="44">
  <autoFilter ref="A1:M61" xr:uid="{6C5D819F-736C-419B-A5F6-E7BF4C146452}"/>
  <tableColumns count="13">
    <tableColumn id="1" xr3:uid="{C2AB73D3-B99A-4657-AB0B-DFEB1A211BAB}" name="Month" dataDxfId="43"/>
    <tableColumn id="2" xr3:uid="{20D9957F-7BA6-4375-808A-C861F42DA1E3}" name="NA"/>
    <tableColumn id="3" xr3:uid="{2D63CA4B-67D9-42E8-9DA6-FE195121425A}" name="SA"/>
    <tableColumn id="4" xr3:uid="{B220F505-C233-410C-9918-F5D3889738CF}" name="Eur"/>
    <tableColumn id="5" xr3:uid="{0A3D5A05-073D-49DC-ADFE-9FA751E86D55}" name="Pac"/>
    <tableColumn id="6" xr3:uid="{9FA7504E-F9FC-497D-97CB-867A82257029}" name="China"/>
    <tableColumn id="7" xr3:uid="{B65109E8-766F-442B-B88B-56C19E232041}" name="World" dataDxfId="42">
      <calculatedColumnFormula>SUM(TractorSales[[#This Row],[NA]],TractorSales[[#This Row],[SA]],TractorSales[[#This Row],[Eur]],TractorSales[[#This Row],[Pac]],TractorSales[[#This Row],[China]])</calculatedColumnFormula>
    </tableColumn>
    <tableColumn id="9" xr3:uid="{8AFBEF67-EA62-443F-B277-438A16134395}" name="NA Market Share" dataDxfId="41">
      <calculatedColumnFormula>TractorSales[[#This Row],[NA]]/IndustryTractorSales[[#This Row],[NA]]</calculatedColumnFormula>
    </tableColumn>
    <tableColumn id="10" xr3:uid="{7252353D-ABBB-49EA-B136-3EC15E042D35}" name="SA Market Share" dataDxfId="40">
      <calculatedColumnFormula>TractorSales[[#This Row],[SA]]/IndustryTractorSales[[#This Row],[SA]]</calculatedColumnFormula>
    </tableColumn>
    <tableColumn id="11" xr3:uid="{1912CF5A-CF68-4925-A665-50CA0E7EDBAB}" name="Eur Market Share" dataDxfId="39">
      <calculatedColumnFormula>TractorSales[[#This Row],[Eur]]/IndustryTractorSales[[#This Row],[Eur]]</calculatedColumnFormula>
    </tableColumn>
    <tableColumn id="12" xr3:uid="{BE8DC933-FD4B-43D0-9B6F-EA472AE7B7B6}" name="Pac Market Share" dataDxfId="38">
      <calculatedColumnFormula>TractorSales[[#This Row],[Pac]]/IndustryTractorSales[[#This Row],[Pac]]</calculatedColumnFormula>
    </tableColumn>
    <tableColumn id="13" xr3:uid="{7646928D-A9E7-4D12-8FCE-9AB79CB212E4}" name="China Market Share" dataDxfId="37">
      <calculatedColumnFormula>TractorSales[[#This Row],[China]]/IndustryTractorSales[[#This Row],[China]]</calculatedColumnFormula>
    </tableColumn>
    <tableColumn id="8" xr3:uid="{0F82EF69-FE76-49FD-9F84-79DD46F756DF}" name="World Market Share" dataDxfId="36">
      <calculatedColumnFormula>TractorSales[[#This Row],[World]]/IndustryTractorSales[[#This Row],[World]]</calculatedColumnFormula>
    </tableColumn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7405CDF-0BB8-41AC-A22D-C58BF5CB4C31}" name="IndustryTractorSales" displayName="IndustryTractorSales" ref="A1:G61" totalsRowShown="0" headerRowDxfId="27" headerRowBorderDxfId="26">
  <autoFilter ref="A1:G61" xr:uid="{A7405CDF-0BB8-41AC-A22D-C58BF5CB4C31}"/>
  <tableColumns count="7">
    <tableColumn id="1" xr3:uid="{EBB35862-2320-420B-9314-2B2A5C4C3F6A}" name="Month" dataDxfId="25"/>
    <tableColumn id="2" xr3:uid="{07888DCD-7083-433C-AAA8-50CF18A36D6A}" name="NA" dataDxfId="24"/>
    <tableColumn id="3" xr3:uid="{CA4B3174-FC34-4350-A48E-B15E1D3C5FA0}" name="SA" dataDxfId="23"/>
    <tableColumn id="4" xr3:uid="{8B811ED5-30CE-4765-A9FE-05B8516B793B}" name="Eur" dataDxfId="22"/>
    <tableColumn id="5" xr3:uid="{5628F51F-725A-495A-8992-885ED7DC4EFD}" name="Pac" dataDxfId="21"/>
    <tableColumn id="6" xr3:uid="{CF3A5600-881E-4A9D-ACCF-19E9477BFB35}" name="China" dataDxfId="20"/>
    <tableColumn id="7" xr3:uid="{8EE37218-5703-4D9A-B190-085502192860}" name="World" dataDxfId="19">
      <calculatedColumnFormula>SUM(B2:F2)</calculatedColumnFormula>
    </tableColumn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C3403A9-4A79-4876-AA08-65C204AA43B2}" name="ProductionCost" displayName="ProductionCost" ref="A1:C61" totalsRowShown="0" headerRowDxfId="18" headerRowBorderDxfId="17">
  <autoFilter ref="A1:C61" xr:uid="{7C3403A9-4A79-4876-AA08-65C204AA43B2}"/>
  <tableColumns count="3">
    <tableColumn id="1" xr3:uid="{65DB2B26-67D2-4327-9FFB-4981FDEC6492}" name="Month" dataDxfId="16"/>
    <tableColumn id="2" xr3:uid="{3BA91C90-2F89-40BE-88EC-D379B3489B21}" name="Tractor" dataDxfId="15" dataCellStyle="Currency"/>
    <tableColumn id="3" xr3:uid="{8FDCDECB-6EE8-4BF0-A552-92FEA4263F26}" name="Mower" dataDxfId="14" dataCellStyle="Currency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EF5AEA-D824-4CC0-9D58-F0AFD24172D2}" name="CustSurvey2014" displayName="CustSurvey2014" ref="A1:E201" totalsRowShown="0" headerRowDxfId="59" dataDxfId="57" headerRowBorderDxfId="58">
  <autoFilter ref="A1:E201" xr:uid="{F3EF5AEA-D824-4CC0-9D58-F0AFD24172D2}">
    <filterColumn colId="0">
      <filters>
        <filter val="Pac"/>
      </filters>
    </filterColumn>
  </autoFilter>
  <tableColumns count="5">
    <tableColumn id="1" xr3:uid="{5AFF653E-92DD-49C8-AC61-C7885B241A35}" name="Region" dataDxfId="56"/>
    <tableColumn id="2" xr3:uid="{884A51DB-0BD6-4D28-A1D2-CC9DA720F21C}" name="Quality" dataDxfId="55"/>
    <tableColumn id="3" xr3:uid="{A415EEA3-A7C7-4DA3-8051-D66071F7C0BC}" name="Ease of Use" dataDxfId="54"/>
    <tableColumn id="4" xr3:uid="{BAE8B4C1-A817-4B32-8552-107D5DA2F713}" name="Price" dataDxfId="53"/>
    <tableColumn id="5" xr3:uid="{F0B60BB0-E39A-46F3-B7E1-04848DBF4013}" name="Service" dataDxfId="5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blurRad="63500" dist="35921" dir="2700000" algn="ctr" rotWithShape="0">
            <a:srgbClr val="000000"/>
          </a:outerShdw>
        </a:effectLst>
        <a:extLst>
          <a:ext uri="{53640926-AAD7-44d8-BBD7-CCE9431645EC}">
            <a14:shadowObscured xmlns=""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blurRad="63500" dist="35921" dir="2700000" algn="ctr" rotWithShape="0">
            <a:srgbClr val="000000"/>
          </a:outerShdw>
        </a:effectLst>
        <a:extLst>
          <a:ext uri="{53640926-AAD7-44d8-BBD7-CCE9431645EC}">
            <a14:shadowObscured xmlns=""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63"/>
  <sheetViews>
    <sheetView workbookViewId="0">
      <selection activeCell="S30" sqref="S30"/>
    </sheetView>
  </sheetViews>
  <sheetFormatPr defaultColWidth="8.85546875" defaultRowHeight="12.75" x14ac:dyDescent="0.2"/>
  <cols>
    <col min="1" max="1" width="10.42578125" customWidth="1"/>
    <col min="2" max="7" width="5.7109375" customWidth="1"/>
    <col min="8" max="8" width="11" customWidth="1"/>
    <col min="9" max="9" width="10" customWidth="1"/>
    <col min="10" max="10" width="12.7109375" customWidth="1"/>
    <col min="11" max="12" width="8.85546875" customWidth="1"/>
    <col min="13" max="19" width="9.42578125" customWidth="1"/>
  </cols>
  <sheetData>
    <row r="1" spans="1:20" x14ac:dyDescent="0.2">
      <c r="A1" s="7" t="s">
        <v>0</v>
      </c>
      <c r="B1" s="7"/>
    </row>
    <row r="2" spans="1:20" x14ac:dyDescent="0.2">
      <c r="A2" s="4"/>
      <c r="B2" s="4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0" x14ac:dyDescent="0.2">
      <c r="A3" s="5" t="s">
        <v>1</v>
      </c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</row>
    <row r="4" spans="1:20" x14ac:dyDescent="0.2">
      <c r="A4" s="36" t="s">
        <v>2</v>
      </c>
      <c r="B4" s="37" t="s">
        <v>3</v>
      </c>
      <c r="C4" s="37" t="s">
        <v>4</v>
      </c>
      <c r="D4" s="37" t="s">
        <v>5</v>
      </c>
      <c r="E4" s="37" t="s">
        <v>6</v>
      </c>
      <c r="F4" s="37" t="s">
        <v>7</v>
      </c>
      <c r="G4" s="37" t="s">
        <v>8</v>
      </c>
      <c r="H4" s="34" t="s">
        <v>9</v>
      </c>
      <c r="I4" s="6" t="s">
        <v>10</v>
      </c>
      <c r="J4" s="37"/>
      <c r="K4" s="37"/>
      <c r="L4" s="38"/>
      <c r="M4" s="32"/>
      <c r="N4" s="32"/>
      <c r="O4" s="32"/>
      <c r="P4" s="32"/>
      <c r="Q4" s="32"/>
      <c r="R4" s="32"/>
      <c r="S4" s="32"/>
      <c r="T4" s="31"/>
    </row>
    <row r="5" spans="1:20" x14ac:dyDescent="0.2">
      <c r="A5" s="34">
        <v>2010</v>
      </c>
      <c r="B5" s="31">
        <v>1</v>
      </c>
      <c r="C5" s="31">
        <v>0</v>
      </c>
      <c r="D5" s="31">
        <v>2</v>
      </c>
      <c r="E5" s="31">
        <v>14</v>
      </c>
      <c r="F5" s="31">
        <v>22</v>
      </c>
      <c r="G5" s="31">
        <v>11</v>
      </c>
      <c r="H5" s="31">
        <f>SUM(B5:G5)</f>
        <v>50</v>
      </c>
      <c r="I5" s="3">
        <f>SUM(Table1[[#Headers],[0]]*Table1[[#This Row],[0]], Table1[[#Headers],[1]]*Table1[[#This Row],[1]],Table1[[#Headers],[2]]*Table1[[#This Row],[2]],Table1[[#Headers],[3]]*Table1[[#This Row],[3]],Table1[[#Headers],[4]]*Table1[[#This Row],[4]],Table1[[#Headers],[5]]*Table1[[#This Row],[5]])/Table1[[#This Row],[Samples]]</f>
        <v>3.78</v>
      </c>
      <c r="J5" s="31"/>
      <c r="K5" s="13"/>
      <c r="L5" s="13"/>
      <c r="M5" s="13"/>
      <c r="N5" s="13"/>
      <c r="O5" s="13"/>
      <c r="P5" s="13"/>
      <c r="Q5" s="13"/>
      <c r="R5" s="13"/>
      <c r="S5" s="13"/>
      <c r="T5" s="31"/>
    </row>
    <row r="6" spans="1:20" x14ac:dyDescent="0.2">
      <c r="A6" s="34">
        <v>2011</v>
      </c>
      <c r="B6" s="31">
        <v>0</v>
      </c>
      <c r="C6" s="31">
        <v>0</v>
      </c>
      <c r="D6" s="31">
        <v>2</v>
      </c>
      <c r="E6" s="31">
        <v>14</v>
      </c>
      <c r="F6" s="31">
        <v>20</v>
      </c>
      <c r="G6" s="31">
        <v>14</v>
      </c>
      <c r="H6" s="31">
        <f>SUM(B6:G6)</f>
        <v>50</v>
      </c>
      <c r="I6" s="3">
        <f>SUM(Table1[[#Headers],[0]]*Table1[[#This Row],[0]], Table1[[#Headers],[1]]*Table1[[#This Row],[1]],Table1[[#Headers],[2]]*Table1[[#This Row],[2]],Table1[[#Headers],[3]]*Table1[[#This Row],[3]],Table1[[#Headers],[4]]*Table1[[#This Row],[4]],Table1[[#Headers],[5]]*Table1[[#This Row],[5]])/Table1[[#This Row],[Samples]]</f>
        <v>3.92</v>
      </c>
      <c r="J6" s="31"/>
      <c r="K6" s="13"/>
      <c r="L6" s="13"/>
      <c r="M6" s="13"/>
      <c r="N6" s="13"/>
      <c r="O6" s="13"/>
      <c r="P6" s="13"/>
      <c r="Q6" s="13"/>
      <c r="R6" s="13"/>
      <c r="S6" s="13"/>
      <c r="T6" s="31"/>
    </row>
    <row r="7" spans="1:20" x14ac:dyDescent="0.2">
      <c r="A7" s="34">
        <v>2012</v>
      </c>
      <c r="B7" s="31">
        <v>1</v>
      </c>
      <c r="C7" s="31">
        <v>1</v>
      </c>
      <c r="D7" s="31">
        <v>1</v>
      </c>
      <c r="E7" s="31">
        <v>8</v>
      </c>
      <c r="F7" s="31">
        <v>34</v>
      </c>
      <c r="G7" s="31">
        <v>15</v>
      </c>
      <c r="H7" s="31">
        <f>SUM(B7:G7)</f>
        <v>60</v>
      </c>
      <c r="I7" s="3">
        <f>SUM(Table1[[#Headers],[0]]*Table1[[#This Row],[0]], Table1[[#Headers],[1]]*Table1[[#This Row],[1]],Table1[[#Headers],[2]]*Table1[[#This Row],[2]],Table1[[#Headers],[3]]*Table1[[#This Row],[3]],Table1[[#Headers],[4]]*Table1[[#This Row],[4]],Table1[[#Headers],[5]]*Table1[[#This Row],[5]])/Table1[[#This Row],[Samples]]</f>
        <v>3.9666666666666668</v>
      </c>
      <c r="J7" s="31"/>
      <c r="K7" s="13"/>
      <c r="L7" s="13"/>
      <c r="M7" s="13"/>
      <c r="N7" s="13"/>
      <c r="O7" s="13"/>
      <c r="P7" s="13"/>
      <c r="Q7" s="13"/>
      <c r="R7" s="13"/>
      <c r="S7" s="13"/>
      <c r="T7" s="31"/>
    </row>
    <row r="8" spans="1:20" x14ac:dyDescent="0.2">
      <c r="A8" s="34">
        <v>2013</v>
      </c>
      <c r="B8" s="31">
        <v>1</v>
      </c>
      <c r="C8" s="31">
        <v>2</v>
      </c>
      <c r="D8" s="31">
        <v>6</v>
      </c>
      <c r="E8" s="31">
        <v>12</v>
      </c>
      <c r="F8" s="31">
        <v>34</v>
      </c>
      <c r="G8" s="31">
        <v>45</v>
      </c>
      <c r="H8" s="31">
        <f>SUM(B8:G8)</f>
        <v>100</v>
      </c>
      <c r="I8" s="3">
        <f>SUM(Table1[[#Headers],[0]]*Table1[[#This Row],[0]], Table1[[#Headers],[1]]*Table1[[#This Row],[1]],Table1[[#Headers],[2]]*Table1[[#This Row],[2]],Table1[[#Headers],[3]]*Table1[[#This Row],[3]],Table1[[#Headers],[4]]*Table1[[#This Row],[4]],Table1[[#Headers],[5]]*Table1[[#This Row],[5]])/Table1[[#This Row],[Samples]]</f>
        <v>4.1100000000000003</v>
      </c>
      <c r="J8" s="31"/>
      <c r="K8" s="33"/>
      <c r="L8" s="13"/>
      <c r="M8" s="13"/>
      <c r="N8" s="13"/>
      <c r="O8" s="13"/>
      <c r="P8" s="13"/>
      <c r="Q8" s="13"/>
      <c r="R8" s="13"/>
      <c r="S8" s="13"/>
      <c r="T8" s="31"/>
    </row>
    <row r="9" spans="1:20" x14ac:dyDescent="0.2">
      <c r="A9" s="34">
        <v>2014</v>
      </c>
      <c r="B9" s="31">
        <v>2</v>
      </c>
      <c r="C9" s="31">
        <v>3</v>
      </c>
      <c r="D9" s="31">
        <v>5</v>
      </c>
      <c r="E9" s="31">
        <v>15</v>
      </c>
      <c r="F9" s="31">
        <v>44</v>
      </c>
      <c r="G9" s="31">
        <v>56</v>
      </c>
      <c r="H9" s="31">
        <f>SUM(B9:G9)</f>
        <v>125</v>
      </c>
      <c r="I9" s="3">
        <f>SUM(Table1[[#Headers],[0]]*Table1[[#This Row],[0]], Table1[[#Headers],[1]]*Table1[[#This Row],[1]],Table1[[#Headers],[2]]*Table1[[#This Row],[2]],Table1[[#Headers],[3]]*Table1[[#This Row],[3]],Table1[[#Headers],[4]]*Table1[[#This Row],[4]],Table1[[#Headers],[5]]*Table1[[#This Row],[5]])/Table1[[#This Row],[Samples]]</f>
        <v>4.1120000000000001</v>
      </c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</row>
    <row r="10" spans="1:20" x14ac:dyDescent="0.2">
      <c r="A10" s="5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</row>
    <row r="11" spans="1:20" x14ac:dyDescent="0.2">
      <c r="A11" s="5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</row>
    <row r="12" spans="1:20" x14ac:dyDescent="0.2">
      <c r="A12" s="5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 spans="1:20" x14ac:dyDescent="0.2">
      <c r="A13" s="5" t="s">
        <v>11</v>
      </c>
      <c r="H13" t="s">
        <v>12</v>
      </c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</row>
    <row r="14" spans="1:20" x14ac:dyDescent="0.2">
      <c r="A14" s="36" t="s">
        <v>2</v>
      </c>
      <c r="B14" s="37" t="s">
        <v>3</v>
      </c>
      <c r="C14" s="37" t="s">
        <v>4</v>
      </c>
      <c r="D14" s="37" t="s">
        <v>5</v>
      </c>
      <c r="E14" s="37" t="s">
        <v>6</v>
      </c>
      <c r="F14" s="37" t="s">
        <v>7</v>
      </c>
      <c r="G14" s="37" t="s">
        <v>8</v>
      </c>
      <c r="H14" s="34" t="s">
        <v>9</v>
      </c>
      <c r="I14" s="6" t="s">
        <v>10</v>
      </c>
      <c r="J14" s="31"/>
      <c r="K14" s="34"/>
      <c r="L14" s="32"/>
      <c r="M14" s="32"/>
      <c r="N14" s="32"/>
      <c r="O14" s="32"/>
      <c r="P14" s="32"/>
      <c r="Q14" s="32"/>
      <c r="R14" s="32"/>
      <c r="S14" s="32"/>
      <c r="T14" s="31"/>
    </row>
    <row r="15" spans="1:20" x14ac:dyDescent="0.2">
      <c r="A15" s="34">
        <v>2010</v>
      </c>
      <c r="B15" s="31">
        <v>0</v>
      </c>
      <c r="C15" s="31">
        <v>0</v>
      </c>
      <c r="D15" s="31">
        <v>0</v>
      </c>
      <c r="E15" s="31">
        <v>2</v>
      </c>
      <c r="F15" s="31">
        <v>6</v>
      </c>
      <c r="G15" s="31">
        <v>2</v>
      </c>
      <c r="H15" s="31">
        <f>SUM(B15:G15)</f>
        <v>10</v>
      </c>
      <c r="I15" s="3">
        <f>SUM(Table2[[#Headers],[0]]*Table2[[#This Row],[0]], Table2[[#Headers],[1]]*Table2[[#This Row],[1]],Table2[[#Headers],[2]]*Table2[[#This Row],[2]],Table2[[#Headers],[3]]*Table2[[#This Row],[3]],Table2[[#Headers],[4]]*Table2[[#This Row],[4]],Table2[[#Headers],[5]]*Table2[[#This Row],[5]])/Table2[[#This Row],[Samples]]</f>
        <v>4</v>
      </c>
      <c r="J15" s="31"/>
      <c r="K15" s="13"/>
      <c r="L15" s="13"/>
      <c r="M15" s="13"/>
      <c r="N15" s="13"/>
      <c r="O15" s="13"/>
      <c r="P15" s="13"/>
      <c r="Q15" s="13"/>
      <c r="R15" s="13"/>
      <c r="S15" s="13"/>
      <c r="T15" s="31"/>
    </row>
    <row r="16" spans="1:20" x14ac:dyDescent="0.2">
      <c r="A16" s="34">
        <v>2011</v>
      </c>
      <c r="B16" s="31">
        <v>0</v>
      </c>
      <c r="C16" s="31">
        <v>0</v>
      </c>
      <c r="D16" s="31">
        <v>0</v>
      </c>
      <c r="E16" s="31">
        <v>2</v>
      </c>
      <c r="F16" s="31">
        <v>6</v>
      </c>
      <c r="G16" s="31">
        <v>2</v>
      </c>
      <c r="H16" s="31">
        <f>SUM(B16:G16)</f>
        <v>10</v>
      </c>
      <c r="I16" s="3">
        <f>SUM(Table2[[#Headers],[0]]*Table2[[#This Row],[0]], Table2[[#Headers],[1]]*Table2[[#This Row],[1]],Table2[[#Headers],[2]]*Table2[[#This Row],[2]],Table2[[#Headers],[3]]*Table2[[#This Row],[3]],Table2[[#Headers],[4]]*Table2[[#This Row],[4]],Table2[[#Headers],[5]]*Table2[[#This Row],[5]])/Table2[[#This Row],[Samples]]</f>
        <v>4</v>
      </c>
      <c r="J16" s="31"/>
      <c r="K16" s="13"/>
      <c r="L16" s="13"/>
      <c r="M16" s="13"/>
      <c r="N16" s="13"/>
      <c r="O16" s="13"/>
      <c r="P16" s="13"/>
      <c r="Q16" s="13"/>
      <c r="R16" s="13"/>
      <c r="S16" s="13"/>
      <c r="T16" s="31"/>
    </row>
    <row r="17" spans="1:20" x14ac:dyDescent="0.2">
      <c r="A17" s="34">
        <v>2012</v>
      </c>
      <c r="B17" s="31">
        <v>0</v>
      </c>
      <c r="C17" s="31">
        <v>0</v>
      </c>
      <c r="D17" s="31">
        <v>1</v>
      </c>
      <c r="E17" s="31">
        <v>4</v>
      </c>
      <c r="F17" s="31">
        <v>11</v>
      </c>
      <c r="G17" s="31">
        <v>14</v>
      </c>
      <c r="H17" s="31">
        <f>SUM(B17:G17)</f>
        <v>30</v>
      </c>
      <c r="I17" s="3">
        <f>SUM(Table2[[#Headers],[0]]*Table2[[#This Row],[0]], Table2[[#Headers],[1]]*Table2[[#This Row],[1]],Table2[[#Headers],[2]]*Table2[[#This Row],[2]],Table2[[#Headers],[3]]*Table2[[#This Row],[3]],Table2[[#Headers],[4]]*Table2[[#This Row],[4]],Table2[[#Headers],[5]]*Table2[[#This Row],[5]])/Table2[[#This Row],[Samples]]</f>
        <v>4.2666666666666666</v>
      </c>
      <c r="J17" s="31"/>
      <c r="K17" s="13"/>
      <c r="L17" s="13"/>
      <c r="M17" s="13"/>
      <c r="N17" s="13"/>
      <c r="O17" s="13"/>
      <c r="P17" s="13"/>
      <c r="Q17" s="13"/>
      <c r="R17" s="13"/>
      <c r="S17" s="13"/>
      <c r="T17" s="31"/>
    </row>
    <row r="18" spans="1:20" x14ac:dyDescent="0.2">
      <c r="A18" s="34">
        <v>2013</v>
      </c>
      <c r="B18" s="31">
        <v>0</v>
      </c>
      <c r="C18" s="31">
        <v>1</v>
      </c>
      <c r="D18" s="31">
        <v>1</v>
      </c>
      <c r="E18" s="31">
        <v>3</v>
      </c>
      <c r="F18" s="31">
        <v>12</v>
      </c>
      <c r="G18" s="31">
        <v>33</v>
      </c>
      <c r="H18" s="31">
        <f>SUM(B18:G18)</f>
        <v>50</v>
      </c>
      <c r="I18" s="3">
        <f>SUM(Table2[[#Headers],[0]]*Table2[[#This Row],[0]], Table2[[#Headers],[1]]*Table2[[#This Row],[1]],Table2[[#Headers],[2]]*Table2[[#This Row],[2]],Table2[[#Headers],[3]]*Table2[[#This Row],[3]],Table2[[#Headers],[4]]*Table2[[#This Row],[4]],Table2[[#Headers],[5]]*Table2[[#This Row],[5]])/Table2[[#This Row],[Samples]]</f>
        <v>4.5</v>
      </c>
      <c r="J18" s="31"/>
      <c r="K18" s="13"/>
      <c r="L18" s="13"/>
      <c r="M18" s="13"/>
      <c r="N18" s="13"/>
      <c r="O18" s="13"/>
      <c r="P18" s="13"/>
      <c r="Q18" s="13"/>
      <c r="R18" s="13"/>
      <c r="S18" s="13"/>
      <c r="T18" s="31"/>
    </row>
    <row r="19" spans="1:20" x14ac:dyDescent="0.2">
      <c r="A19" s="34">
        <v>2014</v>
      </c>
      <c r="B19" s="31">
        <v>1</v>
      </c>
      <c r="C19" s="31">
        <v>1</v>
      </c>
      <c r="D19" s="31">
        <v>2</v>
      </c>
      <c r="E19" s="31">
        <v>4</v>
      </c>
      <c r="F19" s="31">
        <v>22</v>
      </c>
      <c r="G19" s="31">
        <v>60</v>
      </c>
      <c r="H19" s="31">
        <f>SUM(B19:G19)</f>
        <v>90</v>
      </c>
      <c r="I19" s="3">
        <f>SUM(Table2[[#Headers],[0]]*Table2[[#This Row],[0]], Table2[[#Headers],[1]]*Table2[[#This Row],[1]],Table2[[#Headers],[2]]*Table2[[#This Row],[2]],Table2[[#Headers],[3]]*Table2[[#This Row],[3]],Table2[[#Headers],[4]]*Table2[[#This Row],[4]],Table2[[#Headers],[5]]*Table2[[#This Row],[5]])/Table2[[#This Row],[Samples]]</f>
        <v>4.5</v>
      </c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0" spans="1:20" x14ac:dyDescent="0.2">
      <c r="A20" s="5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</row>
    <row r="21" spans="1:20" x14ac:dyDescent="0.2">
      <c r="A21" s="5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</row>
    <row r="22" spans="1:20" x14ac:dyDescent="0.2">
      <c r="A22" s="5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  <row r="23" spans="1:20" x14ac:dyDescent="0.2">
      <c r="A23" s="5" t="s">
        <v>13</v>
      </c>
      <c r="H23" t="s">
        <v>12</v>
      </c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</row>
    <row r="24" spans="1:20" x14ac:dyDescent="0.2">
      <c r="A24" s="36" t="s">
        <v>2</v>
      </c>
      <c r="B24" s="37" t="s">
        <v>3</v>
      </c>
      <c r="C24" s="37" t="s">
        <v>4</v>
      </c>
      <c r="D24" s="37" t="s">
        <v>5</v>
      </c>
      <c r="E24" s="37" t="s">
        <v>6</v>
      </c>
      <c r="F24" s="37" t="s">
        <v>7</v>
      </c>
      <c r="G24" s="37" t="s">
        <v>8</v>
      </c>
      <c r="H24" s="34" t="s">
        <v>9</v>
      </c>
      <c r="I24" s="6" t="s">
        <v>10</v>
      </c>
      <c r="J24" s="31"/>
      <c r="K24" s="34"/>
      <c r="L24" s="32"/>
      <c r="M24" s="32"/>
      <c r="N24" s="32"/>
      <c r="O24" s="32"/>
      <c r="P24" s="32"/>
      <c r="Q24" s="32"/>
      <c r="R24" s="32"/>
      <c r="S24" s="32"/>
      <c r="T24" s="31"/>
    </row>
    <row r="25" spans="1:20" x14ac:dyDescent="0.2">
      <c r="A25" s="34">
        <v>2010</v>
      </c>
      <c r="B25" s="31">
        <v>0</v>
      </c>
      <c r="C25" s="31">
        <v>0</v>
      </c>
      <c r="D25" s="31">
        <v>1</v>
      </c>
      <c r="E25" s="31">
        <v>3</v>
      </c>
      <c r="F25" s="31">
        <v>7</v>
      </c>
      <c r="G25" s="31">
        <v>4</v>
      </c>
      <c r="H25" s="31">
        <f>SUM(B25:G25)</f>
        <v>15</v>
      </c>
      <c r="I25" s="3">
        <f>SUM(Table3[[#Headers],[0]]*Table3[[#This Row],[0]], Table3[[#Headers],[1]]*Table3[[#This Row],[1]],Table3[[#Headers],[2]]*Table3[[#This Row],[2]],Table3[[#Headers],[3]]*Table3[[#This Row],[3]],Table3[[#Headers],[4]]*Table3[[#This Row],[4]],Table3[[#Headers],[5]]*Table3[[#This Row],[5]])/Table3[[#This Row],[Samples]]</f>
        <v>3.9333333333333331</v>
      </c>
      <c r="J25" s="31"/>
      <c r="K25" s="13"/>
      <c r="L25" s="13"/>
      <c r="M25" s="13"/>
      <c r="N25" s="13"/>
      <c r="O25" s="13"/>
      <c r="P25" s="13"/>
      <c r="Q25" s="13"/>
      <c r="R25" s="13"/>
      <c r="S25" s="13"/>
      <c r="T25" s="31"/>
    </row>
    <row r="26" spans="1:20" x14ac:dyDescent="0.2">
      <c r="A26" s="34">
        <v>2011</v>
      </c>
      <c r="B26" s="31">
        <v>0</v>
      </c>
      <c r="C26" s="31">
        <v>0</v>
      </c>
      <c r="D26" s="31">
        <v>1</v>
      </c>
      <c r="E26" s="31">
        <v>2</v>
      </c>
      <c r="F26" s="31">
        <v>8</v>
      </c>
      <c r="G26" s="31">
        <v>4</v>
      </c>
      <c r="H26" s="31">
        <f>SUM(B26:G26)</f>
        <v>15</v>
      </c>
      <c r="I26" s="3">
        <f>SUM(Table3[[#Headers],[0]]*Table3[[#This Row],[0]], Table3[[#Headers],[1]]*Table3[[#This Row],[1]],Table3[[#Headers],[2]]*Table3[[#This Row],[2]],Table3[[#Headers],[3]]*Table3[[#This Row],[3]],Table3[[#Headers],[4]]*Table3[[#This Row],[4]],Table3[[#Headers],[5]]*Table3[[#This Row],[5]])/Table3[[#This Row],[Samples]]</f>
        <v>4</v>
      </c>
      <c r="J26" s="31"/>
      <c r="K26" s="13"/>
      <c r="L26" s="13"/>
      <c r="M26" s="13"/>
      <c r="N26" s="13"/>
      <c r="O26" s="13"/>
      <c r="P26" s="13"/>
      <c r="Q26" s="13"/>
      <c r="R26" s="13"/>
      <c r="S26" s="13"/>
      <c r="T26" s="31"/>
    </row>
    <row r="27" spans="1:20" x14ac:dyDescent="0.2">
      <c r="A27" s="34">
        <v>2012</v>
      </c>
      <c r="B27" s="31">
        <v>0</v>
      </c>
      <c r="C27" s="31">
        <v>0</v>
      </c>
      <c r="D27" s="31">
        <v>1</v>
      </c>
      <c r="E27" s="31">
        <v>2</v>
      </c>
      <c r="F27" s="31">
        <v>15</v>
      </c>
      <c r="G27" s="31">
        <v>7</v>
      </c>
      <c r="H27" s="31">
        <f>SUM(B27:G27)</f>
        <v>25</v>
      </c>
      <c r="I27" s="3">
        <f>SUM(Table3[[#Headers],[0]]*Table3[[#This Row],[0]], Table3[[#Headers],[1]]*Table3[[#This Row],[1]],Table3[[#Headers],[2]]*Table3[[#This Row],[2]],Table3[[#Headers],[3]]*Table3[[#This Row],[3]],Table3[[#Headers],[4]]*Table3[[#This Row],[4]],Table3[[#Headers],[5]]*Table3[[#This Row],[5]])/Table3[[#This Row],[Samples]]</f>
        <v>4.12</v>
      </c>
      <c r="J27" s="31"/>
      <c r="K27" s="13"/>
      <c r="L27" s="13"/>
      <c r="M27" s="13"/>
      <c r="N27" s="13"/>
      <c r="O27" s="13"/>
      <c r="P27" s="13"/>
      <c r="Q27" s="13"/>
      <c r="R27" s="13"/>
      <c r="S27" s="13"/>
      <c r="T27" s="31"/>
    </row>
    <row r="28" spans="1:20" x14ac:dyDescent="0.2">
      <c r="A28" s="34">
        <v>2013</v>
      </c>
      <c r="B28" s="31">
        <v>0</v>
      </c>
      <c r="C28" s="31">
        <v>0</v>
      </c>
      <c r="D28" s="31">
        <v>1</v>
      </c>
      <c r="E28" s="31">
        <v>2</v>
      </c>
      <c r="F28" s="31">
        <v>21</v>
      </c>
      <c r="G28" s="31">
        <v>6</v>
      </c>
      <c r="H28" s="31">
        <f>SUM(B28:G28)</f>
        <v>30</v>
      </c>
      <c r="I28" s="3">
        <f>SUM(Table3[[#Headers],[0]]*Table3[[#This Row],[0]], Table3[[#Headers],[1]]*Table3[[#This Row],[1]],Table3[[#Headers],[2]]*Table3[[#This Row],[2]],Table3[[#Headers],[3]]*Table3[[#This Row],[3]],Table3[[#Headers],[4]]*Table3[[#This Row],[4]],Table3[[#Headers],[5]]*Table3[[#This Row],[5]])/Table3[[#This Row],[Samples]]</f>
        <v>4.0666666666666664</v>
      </c>
      <c r="J28" s="31"/>
      <c r="K28" s="13"/>
      <c r="L28" s="13"/>
      <c r="M28" s="13"/>
      <c r="N28" s="13"/>
      <c r="O28" s="13"/>
      <c r="P28" s="13"/>
      <c r="Q28" s="13"/>
      <c r="R28" s="13"/>
      <c r="S28" s="13"/>
      <c r="T28" s="31"/>
    </row>
    <row r="29" spans="1:20" x14ac:dyDescent="0.2">
      <c r="A29" s="34">
        <v>2014</v>
      </c>
      <c r="B29" s="31">
        <v>0</v>
      </c>
      <c r="C29" s="31">
        <v>0</v>
      </c>
      <c r="D29" s="31">
        <v>1</v>
      </c>
      <c r="E29" s="31">
        <v>4</v>
      </c>
      <c r="F29" s="31">
        <v>17</v>
      </c>
      <c r="G29" s="31">
        <v>8</v>
      </c>
      <c r="H29" s="31">
        <f>SUM(B29:G29)</f>
        <v>30</v>
      </c>
      <c r="I29" s="3">
        <f>SUM(Table3[[#Headers],[0]]*Table3[[#This Row],[0]], Table3[[#Headers],[1]]*Table3[[#This Row],[1]],Table3[[#Headers],[2]]*Table3[[#This Row],[2]],Table3[[#Headers],[3]]*Table3[[#This Row],[3]],Table3[[#Headers],[4]]*Table3[[#This Row],[4]],Table3[[#Headers],[5]]*Table3[[#This Row],[5]])/Table3[[#This Row],[Samples]]</f>
        <v>4.0666666666666664</v>
      </c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spans="1:20" x14ac:dyDescent="0.2">
      <c r="A30" s="5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spans="1:20" x14ac:dyDescent="0.2">
      <c r="A31" s="5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spans="1:20" x14ac:dyDescent="0.2">
      <c r="A32" s="5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spans="1:20" x14ac:dyDescent="0.2">
      <c r="A33" s="5" t="s">
        <v>14</v>
      </c>
      <c r="H33" t="s">
        <v>12</v>
      </c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  <row r="34" spans="1:20" x14ac:dyDescent="0.2">
      <c r="A34" s="36" t="s">
        <v>2</v>
      </c>
      <c r="B34" s="37" t="s">
        <v>3</v>
      </c>
      <c r="C34" s="37" t="s">
        <v>4</v>
      </c>
      <c r="D34" s="37" t="s">
        <v>5</v>
      </c>
      <c r="E34" s="37" t="s">
        <v>6</v>
      </c>
      <c r="F34" s="37" t="s">
        <v>7</v>
      </c>
      <c r="G34" s="37" t="s">
        <v>8</v>
      </c>
      <c r="H34" s="34" t="s">
        <v>9</v>
      </c>
      <c r="I34" s="6" t="s">
        <v>10</v>
      </c>
      <c r="J34" s="31"/>
      <c r="K34" s="34"/>
      <c r="L34" s="32"/>
      <c r="M34" s="32"/>
      <c r="N34" s="32"/>
      <c r="O34" s="32"/>
      <c r="P34" s="32"/>
      <c r="Q34" s="32"/>
      <c r="R34" s="32"/>
      <c r="S34" s="32"/>
      <c r="T34" s="31"/>
    </row>
    <row r="35" spans="1:20" x14ac:dyDescent="0.2">
      <c r="A35" s="34">
        <v>2010</v>
      </c>
      <c r="B35" s="31">
        <v>0</v>
      </c>
      <c r="C35" s="31">
        <v>0</v>
      </c>
      <c r="D35" s="31">
        <v>1</v>
      </c>
      <c r="E35" s="31">
        <v>2</v>
      </c>
      <c r="F35" s="31">
        <v>2</v>
      </c>
      <c r="G35" s="31">
        <v>0</v>
      </c>
      <c r="H35" s="31">
        <f>SUM(B35:G35)</f>
        <v>5</v>
      </c>
      <c r="I35" s="3">
        <f>SUM(Table4[[#Headers],[0]]*Table4[[#This Row],[0]], Table4[[#Headers],[1]]*Table4[[#This Row],[1]],Table4[[#Headers],[2]]*Table4[[#This Row],[2]],Table4[[#Headers],[3]]*Table4[[#This Row],[3]],Table4[[#Headers],[4]]*Table4[[#This Row],[4]],Table4[[#Headers],[5]]*Table4[[#This Row],[5]])/Table4[[#This Row],[Samples]]</f>
        <v>3.2</v>
      </c>
      <c r="J35" s="31"/>
      <c r="K35" s="13"/>
      <c r="L35" s="13"/>
      <c r="M35" s="13"/>
      <c r="N35" s="13"/>
      <c r="O35" s="13"/>
      <c r="P35" s="13"/>
      <c r="Q35" s="13"/>
      <c r="R35" s="13"/>
      <c r="S35" s="13"/>
      <c r="T35" s="31"/>
    </row>
    <row r="36" spans="1:20" x14ac:dyDescent="0.2">
      <c r="A36" s="34">
        <v>2011</v>
      </c>
      <c r="B36" s="31">
        <v>0</v>
      </c>
      <c r="C36" s="31">
        <v>0</v>
      </c>
      <c r="D36" s="31">
        <v>1</v>
      </c>
      <c r="E36" s="31">
        <v>1</v>
      </c>
      <c r="F36" s="31">
        <v>3</v>
      </c>
      <c r="G36" s="31">
        <v>0</v>
      </c>
      <c r="H36" s="31">
        <f>SUM(B36:G36)</f>
        <v>5</v>
      </c>
      <c r="I36" s="3">
        <f>SUM(Table4[[#Headers],[0]]*Table4[[#This Row],[0]], Table4[[#Headers],[1]]*Table4[[#This Row],[1]],Table4[[#Headers],[2]]*Table4[[#This Row],[2]],Table4[[#Headers],[3]]*Table4[[#This Row],[3]],Table4[[#Headers],[4]]*Table4[[#This Row],[4]],Table4[[#Headers],[5]]*Table4[[#This Row],[5]])/Table4[[#This Row],[Samples]]</f>
        <v>3.4</v>
      </c>
      <c r="J36" s="31"/>
      <c r="K36" s="13"/>
      <c r="L36" s="13"/>
      <c r="M36" s="13"/>
      <c r="N36" s="13"/>
      <c r="O36" s="13"/>
      <c r="P36" s="13"/>
      <c r="Q36" s="13"/>
      <c r="R36" s="13"/>
      <c r="S36" s="13"/>
      <c r="T36" s="31"/>
    </row>
    <row r="37" spans="1:20" x14ac:dyDescent="0.2">
      <c r="A37" s="34">
        <v>2012</v>
      </c>
      <c r="B37" s="31">
        <v>0</v>
      </c>
      <c r="C37" s="31">
        <v>0</v>
      </c>
      <c r="D37" s="31">
        <v>1</v>
      </c>
      <c r="E37" s="31">
        <v>1</v>
      </c>
      <c r="F37" s="31">
        <v>3</v>
      </c>
      <c r="G37" s="31">
        <v>1</v>
      </c>
      <c r="H37" s="31">
        <f>SUM(B37:G37)</f>
        <v>6</v>
      </c>
      <c r="I37" s="3">
        <f>SUM(Table4[[#Headers],[0]]*Table4[[#This Row],[0]], Table4[[#Headers],[1]]*Table4[[#This Row],[1]],Table4[[#Headers],[2]]*Table4[[#This Row],[2]],Table4[[#Headers],[3]]*Table4[[#This Row],[3]],Table4[[#Headers],[4]]*Table4[[#This Row],[4]],Table4[[#Headers],[5]]*Table4[[#This Row],[5]])/Table4[[#This Row],[Samples]]</f>
        <v>3.6666666666666665</v>
      </c>
      <c r="J37" s="31"/>
      <c r="K37" s="13"/>
      <c r="L37" s="13"/>
      <c r="M37" s="13"/>
      <c r="N37" s="13"/>
      <c r="O37" s="13"/>
      <c r="P37" s="13"/>
      <c r="Q37" s="13"/>
      <c r="R37" s="13"/>
      <c r="S37" s="13"/>
      <c r="T37" s="31"/>
    </row>
    <row r="38" spans="1:20" x14ac:dyDescent="0.2">
      <c r="A38" s="34">
        <v>2013</v>
      </c>
      <c r="B38" s="31">
        <v>0</v>
      </c>
      <c r="C38" s="31">
        <v>0</v>
      </c>
      <c r="D38" s="31">
        <v>0</v>
      </c>
      <c r="E38" s="31">
        <v>2</v>
      </c>
      <c r="F38" s="31">
        <v>5</v>
      </c>
      <c r="G38" s="31">
        <v>3</v>
      </c>
      <c r="H38" s="31">
        <f>SUM(B38:G38)</f>
        <v>10</v>
      </c>
      <c r="I38" s="3">
        <f>SUM(Table4[[#Headers],[0]]*Table4[[#This Row],[0]], Table4[[#Headers],[1]]*Table4[[#This Row],[1]],Table4[[#Headers],[2]]*Table4[[#This Row],[2]],Table4[[#Headers],[3]]*Table4[[#This Row],[3]],Table4[[#Headers],[4]]*Table4[[#This Row],[4]],Table4[[#Headers],[5]]*Table4[[#This Row],[5]])/Table4[[#This Row],[Samples]]</f>
        <v>4.0999999999999996</v>
      </c>
      <c r="J38" s="31"/>
      <c r="K38" s="13"/>
      <c r="L38" s="13"/>
      <c r="M38" s="13"/>
      <c r="N38" s="13"/>
      <c r="O38" s="13"/>
      <c r="P38" s="13"/>
      <c r="Q38" s="13"/>
      <c r="R38" s="13"/>
      <c r="S38" s="13"/>
      <c r="T38" s="31"/>
    </row>
    <row r="39" spans="1:20" x14ac:dyDescent="0.2">
      <c r="A39" s="34">
        <v>2014</v>
      </c>
      <c r="B39" s="31">
        <v>0</v>
      </c>
      <c r="C39" s="31">
        <v>0</v>
      </c>
      <c r="D39" s="31">
        <v>1</v>
      </c>
      <c r="E39" s="31">
        <v>2</v>
      </c>
      <c r="F39" s="31">
        <v>7</v>
      </c>
      <c r="G39" s="31">
        <v>2</v>
      </c>
      <c r="H39" s="31">
        <f>SUM(B39:G39)</f>
        <v>12</v>
      </c>
      <c r="I39" s="3">
        <f>SUM(Table4[[#Headers],[0]]*Table4[[#This Row],[0]], Table4[[#Headers],[1]]*Table4[[#This Row],[1]],Table4[[#Headers],[2]]*Table4[[#This Row],[2]],Table4[[#Headers],[3]]*Table4[[#This Row],[3]],Table4[[#Headers],[4]]*Table4[[#This Row],[4]],Table4[[#Headers],[5]]*Table4[[#This Row],[5]])/Table4[[#This Row],[Samples]]</f>
        <v>3.8333333333333335</v>
      </c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</row>
    <row r="40" spans="1:20" x14ac:dyDescent="0.2">
      <c r="A40" s="5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</row>
    <row r="41" spans="1:20" x14ac:dyDescent="0.2">
      <c r="A41" s="5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</row>
    <row r="42" spans="1:20" x14ac:dyDescent="0.2">
      <c r="A42" s="5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</row>
    <row r="43" spans="1:20" x14ac:dyDescent="0.2">
      <c r="A43" s="5" t="s">
        <v>15</v>
      </c>
      <c r="H43" t="s">
        <v>12</v>
      </c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</row>
    <row r="44" spans="1:20" x14ac:dyDescent="0.2">
      <c r="A44" s="36" t="s">
        <v>2</v>
      </c>
      <c r="B44" s="37" t="s">
        <v>3</v>
      </c>
      <c r="C44" s="37" t="s">
        <v>4</v>
      </c>
      <c r="D44" s="37" t="s">
        <v>5</v>
      </c>
      <c r="E44" s="37" t="s">
        <v>6</v>
      </c>
      <c r="F44" s="37" t="s">
        <v>7</v>
      </c>
      <c r="G44" s="37" t="s">
        <v>8</v>
      </c>
      <c r="H44" s="34" t="s">
        <v>9</v>
      </c>
      <c r="I44" s="6" t="s">
        <v>10</v>
      </c>
      <c r="J44" s="31"/>
      <c r="K44" s="34"/>
      <c r="L44" s="32"/>
      <c r="M44" s="32"/>
      <c r="N44" s="32"/>
      <c r="O44" s="32"/>
      <c r="P44" s="32"/>
      <c r="Q44" s="32"/>
      <c r="R44" s="32"/>
      <c r="S44" s="32"/>
      <c r="T44" s="31"/>
    </row>
    <row r="45" spans="1:20" x14ac:dyDescent="0.2">
      <c r="A45" s="40">
        <v>2010</v>
      </c>
      <c r="B45" s="37">
        <v>0</v>
      </c>
      <c r="C45" s="37">
        <v>0</v>
      </c>
      <c r="D45" s="37">
        <v>0</v>
      </c>
      <c r="E45" s="37">
        <v>0</v>
      </c>
      <c r="F45" s="37">
        <v>0</v>
      </c>
      <c r="G45" s="37">
        <v>0</v>
      </c>
      <c r="H45" s="34">
        <v>0</v>
      </c>
      <c r="I45" s="41">
        <v>0</v>
      </c>
      <c r="J45" s="31"/>
      <c r="K45" s="34"/>
      <c r="L45" s="32"/>
      <c r="M45" s="32"/>
      <c r="N45" s="32"/>
      <c r="O45" s="32"/>
      <c r="P45" s="32"/>
      <c r="Q45" s="32"/>
      <c r="R45" s="32"/>
      <c r="S45" s="32"/>
      <c r="T45" s="31"/>
    </row>
    <row r="46" spans="1:20" x14ac:dyDescent="0.2">
      <c r="A46" s="40">
        <v>2011</v>
      </c>
      <c r="B46" s="37">
        <v>0</v>
      </c>
      <c r="C46" s="37">
        <v>0</v>
      </c>
      <c r="D46" s="37">
        <v>0</v>
      </c>
      <c r="E46" s="37">
        <v>0</v>
      </c>
      <c r="F46" s="37">
        <v>0</v>
      </c>
      <c r="G46" s="37">
        <v>0</v>
      </c>
      <c r="H46" s="34">
        <v>0</v>
      </c>
      <c r="I46" s="41">
        <v>0</v>
      </c>
      <c r="J46" s="31"/>
      <c r="K46" s="34"/>
      <c r="L46" s="32"/>
      <c r="M46" s="32"/>
      <c r="N46" s="32"/>
      <c r="O46" s="32"/>
      <c r="P46" s="32"/>
      <c r="Q46" s="32"/>
      <c r="R46" s="32"/>
      <c r="S46" s="32"/>
      <c r="T46" s="31"/>
    </row>
    <row r="47" spans="1:20" x14ac:dyDescent="0.2">
      <c r="A47" s="34">
        <v>2012</v>
      </c>
      <c r="B47" s="31">
        <v>0</v>
      </c>
      <c r="C47" s="31">
        <v>0</v>
      </c>
      <c r="D47" s="31">
        <v>0</v>
      </c>
      <c r="E47" s="31">
        <v>1</v>
      </c>
      <c r="F47" s="31">
        <v>0</v>
      </c>
      <c r="G47" s="31">
        <v>0</v>
      </c>
      <c r="H47" s="31">
        <f>SUM(B47:G47)</f>
        <v>1</v>
      </c>
      <c r="I47" s="3">
        <f>SUM(Table5[[#Headers],[0]]*Table5[[#This Row],[0]], Table5[[#Headers],[1]]*Table5[[#This Row],[1]],Table5[[#Headers],[2]]*Table5[[#This Row],[2]],Table5[[#Headers],[3]]*Table5[[#This Row],[3]],Table5[[#Headers],[4]]*Table5[[#This Row],[4]],Table5[[#Headers],[5]]*Table5[[#This Row],[5]])/Table5[[#This Row],[Samples]]</f>
        <v>3</v>
      </c>
      <c r="J47" s="31"/>
      <c r="K47" s="13"/>
      <c r="L47" s="13"/>
      <c r="M47" s="13"/>
      <c r="N47" s="13"/>
      <c r="O47" s="13"/>
      <c r="P47" s="13"/>
      <c r="Q47" s="13"/>
      <c r="R47" s="13"/>
      <c r="S47" s="13"/>
      <c r="T47" s="31"/>
    </row>
    <row r="48" spans="1:20" x14ac:dyDescent="0.2">
      <c r="A48" s="34">
        <v>2013</v>
      </c>
      <c r="B48" s="31">
        <v>0</v>
      </c>
      <c r="C48" s="31">
        <v>0</v>
      </c>
      <c r="D48" s="31">
        <v>1</v>
      </c>
      <c r="E48" s="31">
        <v>4</v>
      </c>
      <c r="F48" s="31">
        <v>2</v>
      </c>
      <c r="G48" s="31">
        <v>0</v>
      </c>
      <c r="H48" s="31">
        <f>SUM(B48:G48)</f>
        <v>7</v>
      </c>
      <c r="I48" s="3">
        <f>SUM(Table5[[#Headers],[0]]*Table5[[#This Row],[0]], Table5[[#Headers],[1]]*Table5[[#This Row],[1]],Table5[[#Headers],[2]]*Table5[[#This Row],[2]],Table5[[#Headers],[3]]*Table5[[#This Row],[3]],Table5[[#Headers],[4]]*Table5[[#This Row],[4]],Table5[[#Headers],[5]]*Table5[[#This Row],[5]])/Table5[[#This Row],[Samples]]</f>
        <v>3.1428571428571428</v>
      </c>
      <c r="J48" s="31"/>
      <c r="K48" s="13"/>
      <c r="L48" s="13"/>
      <c r="M48" s="13"/>
      <c r="N48" s="13"/>
      <c r="O48" s="13"/>
      <c r="P48" s="13"/>
      <c r="Q48" s="13"/>
      <c r="R48" s="13"/>
      <c r="S48" s="13"/>
      <c r="T48" s="31"/>
    </row>
    <row r="49" spans="1:20" x14ac:dyDescent="0.2">
      <c r="A49" s="34">
        <v>2014</v>
      </c>
      <c r="B49" s="31">
        <v>0</v>
      </c>
      <c r="C49" s="31">
        <v>0</v>
      </c>
      <c r="D49" s="31">
        <v>1</v>
      </c>
      <c r="E49" s="31">
        <v>5</v>
      </c>
      <c r="F49" s="31">
        <v>8</v>
      </c>
      <c r="G49" s="31">
        <v>2</v>
      </c>
      <c r="H49" s="31">
        <f>SUM(B49:G49)</f>
        <v>16</v>
      </c>
      <c r="I49" s="3">
        <f>SUM(Table5[[#Headers],[0]]*Table5[[#This Row],[0]], Table5[[#Headers],[1]]*Table5[[#This Row],[1]],Table5[[#Headers],[2]]*Table5[[#This Row],[2]],Table5[[#Headers],[3]]*Table5[[#This Row],[3]],Table5[[#Headers],[4]]*Table5[[#This Row],[4]],Table5[[#Headers],[5]]*Table5[[#This Row],[5]])/Table5[[#This Row],[Samples]]</f>
        <v>3.6875</v>
      </c>
      <c r="J49" s="31"/>
      <c r="K49" s="13"/>
      <c r="L49" s="13"/>
      <c r="M49" s="13"/>
      <c r="N49" s="13"/>
      <c r="O49" s="13"/>
      <c r="P49" s="13"/>
      <c r="Q49" s="13"/>
      <c r="R49" s="13"/>
      <c r="S49" s="13"/>
      <c r="T49" s="31"/>
    </row>
    <row r="50" spans="1:20" x14ac:dyDescent="0.2">
      <c r="J50" s="31"/>
      <c r="K50" s="13"/>
      <c r="L50" s="13"/>
      <c r="M50" s="13"/>
      <c r="N50" s="13"/>
      <c r="O50" s="13"/>
      <c r="P50" s="13"/>
      <c r="Q50" s="13"/>
      <c r="R50" s="13"/>
      <c r="S50" s="13"/>
      <c r="T50" s="31"/>
    </row>
    <row r="51" spans="1:20" x14ac:dyDescent="0.2"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</row>
    <row r="52" spans="1:20" x14ac:dyDescent="0.2"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</row>
    <row r="53" spans="1:20" x14ac:dyDescent="0.2">
      <c r="A53" s="5" t="s">
        <v>16</v>
      </c>
      <c r="K53" s="13"/>
      <c r="L53" s="13"/>
      <c r="M53" s="13"/>
      <c r="N53" s="13"/>
      <c r="O53" s="13"/>
      <c r="P53" s="13"/>
      <c r="Q53" s="13"/>
      <c r="R53" s="13"/>
      <c r="S53" s="13"/>
    </row>
    <row r="54" spans="1:20" x14ac:dyDescent="0.2">
      <c r="A54" s="26" t="s">
        <v>2</v>
      </c>
      <c r="B54" t="s">
        <v>3</v>
      </c>
      <c r="C54" t="s">
        <v>4</v>
      </c>
      <c r="D54" t="s">
        <v>5</v>
      </c>
      <c r="E54" t="s">
        <v>6</v>
      </c>
      <c r="F54" t="s">
        <v>7</v>
      </c>
      <c r="G54" t="s">
        <v>8</v>
      </c>
      <c r="H54" s="26" t="s">
        <v>9</v>
      </c>
      <c r="I54" s="26" t="s">
        <v>10</v>
      </c>
      <c r="K54" s="13"/>
      <c r="L54" s="13"/>
      <c r="M54" s="13"/>
      <c r="N54" s="13"/>
      <c r="O54" s="13"/>
      <c r="P54" s="13"/>
      <c r="Q54" s="13"/>
      <c r="R54" s="13"/>
      <c r="S54" s="13"/>
    </row>
    <row r="55" spans="1:20" x14ac:dyDescent="0.2">
      <c r="A55">
        <v>2010</v>
      </c>
      <c r="B55">
        <f t="shared" ref="B55" si="0">SUM(B5,B15,B25,B35,B45)</f>
        <v>1</v>
      </c>
      <c r="C55">
        <f>SUM(C5,C15,C25,C35,C45)</f>
        <v>0</v>
      </c>
      <c r="D55">
        <f t="shared" ref="D55:D59" si="1">SUM(D5,D15,D25,D35,D45)</f>
        <v>4</v>
      </c>
      <c r="E55">
        <f t="shared" ref="E55:E59" si="2">SUM(E5,E15,E25,E35,E45)</f>
        <v>21</v>
      </c>
      <c r="F55">
        <f t="shared" ref="F55:F59" si="3">SUM(F5,F15,F25,F35,F45)</f>
        <v>37</v>
      </c>
      <c r="G55">
        <f t="shared" ref="G55:G59" si="4">SUM(G5,G15,G25,G35,G45)</f>
        <v>17</v>
      </c>
      <c r="H55">
        <f>SUM(H5,H15,H25,H35,H45)</f>
        <v>80</v>
      </c>
      <c r="I55" s="3">
        <f>SUM(Table6[[#Headers],[0]]*Table6[[#This Row],[0]], Table6[[#Headers],[1]]*Table6[[#This Row],[1]],Table6[[#Headers],[2]]*Table6[[#This Row],[2]],Table6[[#Headers],[3]]*Table6[[#This Row],[3]],Table6[[#Headers],[4]]*Table6[[#This Row],[4]],Table6[[#Headers],[5]]*Table6[[#This Row],[5]])/Table6[[#This Row],[Samples]]</f>
        <v>3.8</v>
      </c>
      <c r="K55" s="13"/>
      <c r="L55" s="13"/>
      <c r="M55" s="13"/>
      <c r="N55" s="13"/>
      <c r="O55" s="13"/>
      <c r="P55" s="13"/>
      <c r="Q55" s="13"/>
      <c r="R55" s="13"/>
      <c r="S55" s="13"/>
    </row>
    <row r="56" spans="1:20" x14ac:dyDescent="0.2">
      <c r="A56">
        <v>2011</v>
      </c>
      <c r="B56">
        <f>SUM(B6,B16,B26,B36,B46)</f>
        <v>0</v>
      </c>
      <c r="C56">
        <f>SUM(C6,C16,C26,C36,C46)</f>
        <v>0</v>
      </c>
      <c r="D56">
        <f t="shared" si="1"/>
        <v>4</v>
      </c>
      <c r="E56">
        <f t="shared" si="2"/>
        <v>19</v>
      </c>
      <c r="F56">
        <f t="shared" si="3"/>
        <v>37</v>
      </c>
      <c r="G56">
        <f t="shared" si="4"/>
        <v>20</v>
      </c>
      <c r="H56">
        <f>SUM(H6,H16,H26,H36,H46)</f>
        <v>80</v>
      </c>
      <c r="I56" s="3">
        <f>SUM(Table6[[#Headers],[0]]*Table6[[#This Row],[0]], Table6[[#Headers],[1]]*Table6[[#This Row],[1]],Table6[[#Headers],[2]]*Table6[[#This Row],[2]],Table6[[#Headers],[3]]*Table6[[#This Row],[3]],Table6[[#Headers],[4]]*Table6[[#This Row],[4]],Table6[[#Headers],[5]]*Table6[[#This Row],[5]])/Table6[[#This Row],[Samples]]</f>
        <v>3.9125000000000001</v>
      </c>
      <c r="K56" s="13"/>
      <c r="L56" s="13"/>
      <c r="M56" s="13"/>
      <c r="N56" s="13"/>
      <c r="O56" s="13"/>
      <c r="P56" s="13"/>
      <c r="Q56" s="13"/>
      <c r="R56" s="13"/>
      <c r="S56" s="13"/>
    </row>
    <row r="57" spans="1:20" x14ac:dyDescent="0.2">
      <c r="A57">
        <v>2012</v>
      </c>
      <c r="B57">
        <f>SUM(B7,B17,B27,B37,B47)</f>
        <v>1</v>
      </c>
      <c r="C57">
        <f>SUM(C7,C17,C27,C37,C47)</f>
        <v>1</v>
      </c>
      <c r="D57">
        <f t="shared" si="1"/>
        <v>4</v>
      </c>
      <c r="E57">
        <f t="shared" si="2"/>
        <v>16</v>
      </c>
      <c r="F57">
        <f t="shared" si="3"/>
        <v>63</v>
      </c>
      <c r="G57">
        <f t="shared" si="4"/>
        <v>37</v>
      </c>
      <c r="H57">
        <f>SUM(H7,H17,H27,H37,H47)</f>
        <v>122</v>
      </c>
      <c r="I57" s="3">
        <f>SUM(Table6[[#Headers],[0]]*Table6[[#This Row],[0]], Table6[[#Headers],[1]]*Table6[[#This Row],[1]],Table6[[#Headers],[2]]*Table6[[#This Row],[2]],Table6[[#Headers],[3]]*Table6[[#This Row],[3]],Table6[[#Headers],[4]]*Table6[[#This Row],[4]],Table6[[#Headers],[5]]*Table6[[#This Row],[5]])/Table6[[#This Row],[Samples]]</f>
        <v>4.0491803278688527</v>
      </c>
      <c r="K57" s="13"/>
      <c r="L57" s="13"/>
      <c r="M57" s="13"/>
      <c r="N57" s="13"/>
      <c r="O57" s="13"/>
      <c r="P57" s="13"/>
      <c r="Q57" s="13"/>
      <c r="R57" s="13"/>
      <c r="S57" s="13"/>
      <c r="T57" s="31"/>
    </row>
    <row r="58" spans="1:20" x14ac:dyDescent="0.2">
      <c r="A58">
        <v>2013</v>
      </c>
      <c r="B58">
        <f>SUM(B8,B18,B28,B38,B48)</f>
        <v>1</v>
      </c>
      <c r="C58">
        <f>SUM(C8,C18,C28,C38,C48)</f>
        <v>3</v>
      </c>
      <c r="D58">
        <f t="shared" si="1"/>
        <v>9</v>
      </c>
      <c r="E58">
        <f t="shared" si="2"/>
        <v>23</v>
      </c>
      <c r="F58">
        <f t="shared" si="3"/>
        <v>74</v>
      </c>
      <c r="G58">
        <f t="shared" si="4"/>
        <v>87</v>
      </c>
      <c r="H58">
        <f>SUM(H8,H18,H28,H38,H48)</f>
        <v>197</v>
      </c>
      <c r="I58" s="3">
        <f>SUM(Table6[[#Headers],[0]]*Table6[[#This Row],[0]], Table6[[#Headers],[1]]*Table6[[#This Row],[1]],Table6[[#Headers],[2]]*Table6[[#This Row],[2]],Table6[[#Headers],[3]]*Table6[[#This Row],[3]],Table6[[#Headers],[4]]*Table6[[#This Row],[4]],Table6[[#Headers],[5]]*Table6[[#This Row],[5]])/Table6[[#This Row],[Samples]]</f>
        <v>4.1675126903553297</v>
      </c>
      <c r="K58" s="13"/>
      <c r="L58" s="13"/>
      <c r="M58" s="13"/>
      <c r="N58" s="13"/>
      <c r="O58" s="13"/>
      <c r="P58" s="13"/>
      <c r="Q58" s="13"/>
      <c r="R58" s="13"/>
      <c r="S58" s="13"/>
      <c r="T58" s="31"/>
    </row>
    <row r="59" spans="1:20" x14ac:dyDescent="0.2">
      <c r="A59">
        <v>2014</v>
      </c>
      <c r="B59">
        <f>SUM(B9,B19,B29,B39,B49)</f>
        <v>3</v>
      </c>
      <c r="C59">
        <f>SUM(C9,C19,C29,C39,C49)</f>
        <v>4</v>
      </c>
      <c r="D59">
        <f t="shared" si="1"/>
        <v>10</v>
      </c>
      <c r="E59">
        <f t="shared" si="2"/>
        <v>30</v>
      </c>
      <c r="F59">
        <f t="shared" si="3"/>
        <v>98</v>
      </c>
      <c r="G59">
        <f t="shared" si="4"/>
        <v>128</v>
      </c>
      <c r="H59">
        <f>SUM(H9,H19,H29,H39,H49)</f>
        <v>273</v>
      </c>
      <c r="I59" s="3">
        <f>SUM(Table6[[#Headers],[0]]*Table6[[#This Row],[0]], Table6[[#Headers],[1]]*Table6[[#This Row],[1]],Table6[[#Headers],[2]]*Table6[[#This Row],[2]],Table6[[#Headers],[3]]*Table6[[#This Row],[3]],Table6[[#Headers],[4]]*Table6[[#This Row],[4]],Table6[[#Headers],[5]]*Table6[[#This Row],[5]])/Table6[[#This Row],[Samples]]</f>
        <v>4.197802197802198</v>
      </c>
      <c r="K59" s="13"/>
      <c r="L59" s="13"/>
      <c r="M59" s="13"/>
      <c r="N59" s="13"/>
      <c r="O59" s="13"/>
      <c r="P59" s="13"/>
      <c r="Q59" s="13"/>
      <c r="R59" s="13"/>
      <c r="S59" s="13"/>
      <c r="T59" s="31"/>
    </row>
    <row r="60" spans="1:20" x14ac:dyDescent="0.2">
      <c r="K60" s="13"/>
      <c r="L60" s="13"/>
      <c r="M60" s="13"/>
      <c r="N60" s="13"/>
      <c r="O60" s="13"/>
      <c r="P60" s="13"/>
      <c r="Q60" s="13"/>
      <c r="R60" s="13"/>
      <c r="S60" s="13"/>
      <c r="T60" s="31"/>
    </row>
    <row r="61" spans="1:20" x14ac:dyDescent="0.2">
      <c r="K61" s="31"/>
      <c r="L61" s="31"/>
      <c r="M61" s="31"/>
      <c r="N61" s="31"/>
      <c r="O61" s="31"/>
      <c r="P61" s="31"/>
      <c r="Q61" s="31"/>
      <c r="R61" s="31"/>
      <c r="S61" s="31"/>
      <c r="T61" s="31"/>
    </row>
    <row r="62" spans="1:20" x14ac:dyDescent="0.2">
      <c r="K62" s="31"/>
      <c r="L62" s="31"/>
      <c r="M62" s="31"/>
      <c r="N62" s="31"/>
      <c r="O62" s="31"/>
      <c r="P62" s="31"/>
      <c r="Q62" s="31"/>
      <c r="R62" s="31"/>
      <c r="S62" s="31"/>
      <c r="T62" s="31"/>
    </row>
    <row r="63" spans="1:20" x14ac:dyDescent="0.2">
      <c r="K63" s="31"/>
      <c r="L63" s="31"/>
      <c r="M63" s="31"/>
      <c r="N63" s="31"/>
      <c r="O63" s="31"/>
      <c r="P63" s="31"/>
      <c r="Q63" s="31"/>
      <c r="R63" s="31"/>
      <c r="S63" s="31"/>
      <c r="T63" s="31"/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  <ignoredErrors>
    <ignoredError sqref="H23 H33 H43" formulaRange="1"/>
  </ignoredErrors>
  <drawing r:id="rId2"/>
  <tableParts count="6">
    <tablePart r:id="rId3"/>
    <tablePart r:id="rId4"/>
    <tablePart r:id="rId5"/>
    <tablePart r:id="rId6"/>
    <tablePart r:id="rId7"/>
    <tablePart r:id="rId8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9"/>
  <sheetViews>
    <sheetView workbookViewId="0">
      <selection activeCell="Q18" sqref="Q18"/>
    </sheetView>
  </sheetViews>
  <sheetFormatPr defaultColWidth="8.85546875" defaultRowHeight="12.75" x14ac:dyDescent="0.2"/>
  <cols>
    <col min="1" max="1" width="15.42578125" customWidth="1"/>
    <col min="2" max="7" width="5.140625" customWidth="1"/>
    <col min="8" max="8" width="11" customWidth="1"/>
    <col min="9" max="9" width="8.85546875" style="54"/>
  </cols>
  <sheetData>
    <row r="1" spans="1:9" x14ac:dyDescent="0.2">
      <c r="A1" s="7" t="s">
        <v>17</v>
      </c>
      <c r="B1" s="7"/>
    </row>
    <row r="2" spans="1:9" x14ac:dyDescent="0.2">
      <c r="A2" s="7"/>
      <c r="B2" s="7"/>
    </row>
    <row r="3" spans="1:9" x14ac:dyDescent="0.2">
      <c r="A3" s="5" t="s">
        <v>1</v>
      </c>
    </row>
    <row r="4" spans="1:9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s="54" t="s">
        <v>10</v>
      </c>
    </row>
    <row r="5" spans="1:9" x14ac:dyDescent="0.2">
      <c r="A5">
        <v>2010</v>
      </c>
      <c r="B5">
        <v>1</v>
      </c>
      <c r="C5">
        <v>3</v>
      </c>
      <c r="D5">
        <v>6</v>
      </c>
      <c r="E5">
        <v>15</v>
      </c>
      <c r="F5">
        <v>37</v>
      </c>
      <c r="G5">
        <v>38</v>
      </c>
      <c r="H5">
        <f>SUM(B5:G5)</f>
        <v>100</v>
      </c>
      <c r="I5" s="54" cm="1">
        <f t="array" ref="I5">SUMPRODUCT(Table7[[#This Row],[0]:[5]],_xlfn.NUMBERVALUE(Table7[[#Headers],[0]:[5]]))/Table7[[#This Row],[Samples]]</f>
        <v>3.98</v>
      </c>
    </row>
    <row r="6" spans="1:9" x14ac:dyDescent="0.2">
      <c r="A6">
        <v>2011</v>
      </c>
      <c r="B6">
        <v>1</v>
      </c>
      <c r="C6">
        <v>2</v>
      </c>
      <c r="D6">
        <v>4</v>
      </c>
      <c r="E6">
        <v>18</v>
      </c>
      <c r="F6">
        <v>35</v>
      </c>
      <c r="G6">
        <v>40</v>
      </c>
      <c r="H6">
        <f>SUM(B6:G6)</f>
        <v>100</v>
      </c>
      <c r="I6" s="54" cm="1">
        <f t="array" ref="I6">SUMPRODUCT(Table7[[#This Row],[0]:[5]],_xlfn.NUMBERVALUE(Table7[[#Headers],[0]:[5]]))/Table7[[#This Row],[Samples]]</f>
        <v>4.04</v>
      </c>
    </row>
    <row r="7" spans="1:9" x14ac:dyDescent="0.2">
      <c r="A7">
        <v>2012</v>
      </c>
      <c r="B7">
        <v>1</v>
      </c>
      <c r="C7">
        <v>2</v>
      </c>
      <c r="D7">
        <v>5</v>
      </c>
      <c r="E7">
        <v>17</v>
      </c>
      <c r="F7">
        <v>34</v>
      </c>
      <c r="G7">
        <v>41</v>
      </c>
      <c r="H7">
        <f>SUM(B7:G7)</f>
        <v>100</v>
      </c>
      <c r="I7" s="54" cm="1">
        <f t="array" ref="I7">SUMPRODUCT(Table7[[#This Row],[0]:[5]],_xlfn.NUMBERVALUE(Table7[[#Headers],[0]:[5]]))/Table7[[#This Row],[Samples]]</f>
        <v>4.04</v>
      </c>
    </row>
    <row r="8" spans="1:9" x14ac:dyDescent="0.2">
      <c r="A8">
        <v>2013</v>
      </c>
      <c r="B8">
        <v>0</v>
      </c>
      <c r="C8">
        <v>2</v>
      </c>
      <c r="D8">
        <v>4</v>
      </c>
      <c r="E8">
        <v>15</v>
      </c>
      <c r="F8">
        <v>33</v>
      </c>
      <c r="G8">
        <v>46</v>
      </c>
      <c r="H8">
        <f>SUM(B8:G8)</f>
        <v>100</v>
      </c>
      <c r="I8" s="54" cm="1">
        <f t="array" ref="I8">SUMPRODUCT(Table7[[#This Row],[0]:[5]],_xlfn.NUMBERVALUE(Table7[[#Headers],[0]:[5]]))/Table7[[#This Row],[Samples]]</f>
        <v>4.17</v>
      </c>
    </row>
    <row r="9" spans="1:9" x14ac:dyDescent="0.2">
      <c r="A9">
        <v>2014</v>
      </c>
      <c r="B9">
        <v>0</v>
      </c>
      <c r="C9">
        <v>2</v>
      </c>
      <c r="D9">
        <v>3</v>
      </c>
      <c r="E9">
        <v>15</v>
      </c>
      <c r="F9">
        <v>31</v>
      </c>
      <c r="G9">
        <v>49</v>
      </c>
      <c r="H9">
        <f>SUM(B9:G9)</f>
        <v>100</v>
      </c>
      <c r="I9" s="54" cm="1">
        <f t="array" ref="I9">SUMPRODUCT(Table7[[#This Row],[0]:[5]],_xlfn.NUMBERVALUE(Table7[[#Headers],[0]:[5]]))/Table7[[#This Row],[Samples]]</f>
        <v>4.22</v>
      </c>
    </row>
    <row r="10" spans="1:9" x14ac:dyDescent="0.2">
      <c r="A10" s="5"/>
    </row>
    <row r="11" spans="1:9" x14ac:dyDescent="0.2">
      <c r="A11" s="5" t="s">
        <v>11</v>
      </c>
      <c r="H11" t="s">
        <v>12</v>
      </c>
    </row>
    <row r="12" spans="1:9" x14ac:dyDescent="0.2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  <c r="H12" t="s">
        <v>9</v>
      </c>
      <c r="I12" s="54" t="s">
        <v>10</v>
      </c>
    </row>
    <row r="13" spans="1:9" x14ac:dyDescent="0.2">
      <c r="A13">
        <v>2010</v>
      </c>
      <c r="B13">
        <v>1</v>
      </c>
      <c r="C13">
        <v>2</v>
      </c>
      <c r="D13">
        <v>5</v>
      </c>
      <c r="E13">
        <v>18</v>
      </c>
      <c r="F13">
        <v>36</v>
      </c>
      <c r="G13">
        <v>38</v>
      </c>
      <c r="H13">
        <f>SUM(B13:G13)</f>
        <v>100</v>
      </c>
      <c r="I13" s="54" cm="1">
        <f t="array" ref="I13">SUMPRODUCT(Table8[[#This Row],[0]:[5]],_xlfn.NUMBERVALUE(Table8[[#Headers],[0]:[5]]))/Table8[[#This Row],[Samples]]</f>
        <v>4</v>
      </c>
    </row>
    <row r="14" spans="1:9" x14ac:dyDescent="0.2">
      <c r="A14">
        <v>2011</v>
      </c>
      <c r="B14">
        <v>1</v>
      </c>
      <c r="C14">
        <v>3</v>
      </c>
      <c r="D14">
        <v>6</v>
      </c>
      <c r="E14">
        <v>17</v>
      </c>
      <c r="F14">
        <v>36</v>
      </c>
      <c r="G14">
        <v>37</v>
      </c>
      <c r="H14">
        <f>SUM(B14:G14)</f>
        <v>100</v>
      </c>
      <c r="I14" s="54" cm="1">
        <f t="array" ref="I14">SUMPRODUCT(Table8[[#This Row],[0]:[5]],_xlfn.NUMBERVALUE(Table8[[#Headers],[0]:[5]]))/Table8[[#This Row],[Samples]]</f>
        <v>3.95</v>
      </c>
    </row>
    <row r="15" spans="1:9" x14ac:dyDescent="0.2">
      <c r="A15">
        <v>2012</v>
      </c>
      <c r="B15">
        <v>0</v>
      </c>
      <c r="C15">
        <v>2</v>
      </c>
      <c r="D15">
        <v>6</v>
      </c>
      <c r="E15">
        <v>19</v>
      </c>
      <c r="F15">
        <v>37</v>
      </c>
      <c r="G15">
        <v>36</v>
      </c>
      <c r="H15">
        <f>SUM(B15:G15)</f>
        <v>100</v>
      </c>
      <c r="I15" s="54" cm="1">
        <f t="array" ref="I15">SUMPRODUCT(Table8[[#This Row],[0]:[5]],_xlfn.NUMBERVALUE(Table8[[#Headers],[0]:[5]]))/Table8[[#This Row],[Samples]]</f>
        <v>3.99</v>
      </c>
    </row>
    <row r="16" spans="1:9" x14ac:dyDescent="0.2">
      <c r="A16">
        <v>2013</v>
      </c>
      <c r="B16">
        <v>0</v>
      </c>
      <c r="C16">
        <v>2</v>
      </c>
      <c r="D16">
        <v>5</v>
      </c>
      <c r="E16">
        <v>20</v>
      </c>
      <c r="F16">
        <v>37</v>
      </c>
      <c r="G16">
        <v>36</v>
      </c>
      <c r="H16">
        <f>SUM(B16:G16)</f>
        <v>100</v>
      </c>
      <c r="I16" s="54" cm="1">
        <f t="array" ref="I16">SUMPRODUCT(Table8[[#This Row],[0]:[5]],_xlfn.NUMBERVALUE(Table8[[#Headers],[0]:[5]]))/Table8[[#This Row],[Samples]]</f>
        <v>4</v>
      </c>
    </row>
    <row r="17" spans="1:9" x14ac:dyDescent="0.2">
      <c r="A17">
        <v>2014</v>
      </c>
      <c r="B17">
        <v>0</v>
      </c>
      <c r="C17">
        <v>2</v>
      </c>
      <c r="D17">
        <v>5</v>
      </c>
      <c r="E17">
        <v>19</v>
      </c>
      <c r="F17">
        <v>37</v>
      </c>
      <c r="G17">
        <v>37</v>
      </c>
      <c r="H17">
        <f>SUM(B17:G17)</f>
        <v>100</v>
      </c>
      <c r="I17" s="54" cm="1">
        <f t="array" ref="I17">SUMPRODUCT(Table8[[#This Row],[0]:[5]],_xlfn.NUMBERVALUE(Table8[[#Headers],[0]:[5]]))/Table8[[#This Row],[Samples]]</f>
        <v>4.0199999999999996</v>
      </c>
    </row>
    <row r="18" spans="1:9" x14ac:dyDescent="0.2">
      <c r="A18" s="5"/>
    </row>
    <row r="19" spans="1:9" x14ac:dyDescent="0.2">
      <c r="A19" s="5" t="s">
        <v>13</v>
      </c>
      <c r="H19" t="s">
        <v>12</v>
      </c>
    </row>
    <row r="20" spans="1:9" x14ac:dyDescent="0.2">
      <c r="A20" t="s">
        <v>2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  <c r="G20" t="s">
        <v>8</v>
      </c>
      <c r="H20" t="s">
        <v>9</v>
      </c>
      <c r="I20" s="54" t="s">
        <v>10</v>
      </c>
    </row>
    <row r="21" spans="1:9" x14ac:dyDescent="0.2">
      <c r="A21">
        <v>2010</v>
      </c>
      <c r="B21">
        <v>1</v>
      </c>
      <c r="C21">
        <v>2</v>
      </c>
      <c r="D21">
        <v>4</v>
      </c>
      <c r="E21">
        <v>21</v>
      </c>
      <c r="F21">
        <v>36</v>
      </c>
      <c r="G21">
        <v>36</v>
      </c>
      <c r="H21">
        <f>SUM(B21:G21)</f>
        <v>100</v>
      </c>
      <c r="I21" s="54" cm="1">
        <f t="array" ref="I21">SUMPRODUCT(Table9[[#This Row],[0]:[5]],_xlfn.NUMBERVALUE(Table9[[#Headers],[0]:[5]]))/Table9[[#This Row],[Samples]]</f>
        <v>3.97</v>
      </c>
    </row>
    <row r="22" spans="1:9" x14ac:dyDescent="0.2">
      <c r="A22">
        <v>2011</v>
      </c>
      <c r="B22">
        <v>1</v>
      </c>
      <c r="C22">
        <v>2</v>
      </c>
      <c r="D22">
        <v>5</v>
      </c>
      <c r="E22">
        <v>21</v>
      </c>
      <c r="F22">
        <v>34</v>
      </c>
      <c r="G22">
        <v>37</v>
      </c>
      <c r="H22">
        <f>SUM(B22:G22)</f>
        <v>100</v>
      </c>
      <c r="I22" s="54" cm="1">
        <f t="array" ref="I22">SUMPRODUCT(Table9[[#This Row],[0]:[5]],_xlfn.NUMBERVALUE(Table9[[#Headers],[0]:[5]]))/Table9[[#This Row],[Samples]]</f>
        <v>3.96</v>
      </c>
    </row>
    <row r="23" spans="1:9" x14ac:dyDescent="0.2">
      <c r="A23">
        <v>2012</v>
      </c>
      <c r="B23">
        <v>1</v>
      </c>
      <c r="C23">
        <v>1</v>
      </c>
      <c r="D23">
        <v>4</v>
      </c>
      <c r="E23">
        <v>26</v>
      </c>
      <c r="F23">
        <v>37</v>
      </c>
      <c r="G23">
        <v>31</v>
      </c>
      <c r="H23">
        <f>SUM(B23:G23)</f>
        <v>100</v>
      </c>
      <c r="I23" s="54" cm="1">
        <f t="array" ref="I23">SUMPRODUCT(Table9[[#This Row],[0]:[5]],_xlfn.NUMBERVALUE(Table9[[#Headers],[0]:[5]]))/Table9[[#This Row],[Samples]]</f>
        <v>3.9</v>
      </c>
    </row>
    <row r="24" spans="1:9" x14ac:dyDescent="0.2">
      <c r="A24">
        <v>2013</v>
      </c>
      <c r="B24">
        <v>1</v>
      </c>
      <c r="C24">
        <v>1</v>
      </c>
      <c r="D24">
        <v>3</v>
      </c>
      <c r="E24">
        <v>17</v>
      </c>
      <c r="F24">
        <v>41</v>
      </c>
      <c r="G24">
        <v>37</v>
      </c>
      <c r="H24">
        <f>SUM(B24:G24)</f>
        <v>100</v>
      </c>
      <c r="I24" s="54" cm="1">
        <f t="array" ref="I24">SUMPRODUCT(Table9[[#This Row],[0]:[5]],_xlfn.NUMBERVALUE(Table9[[#Headers],[0]:[5]]))/Table9[[#This Row],[Samples]]</f>
        <v>4.07</v>
      </c>
    </row>
    <row r="25" spans="1:9" x14ac:dyDescent="0.2">
      <c r="A25">
        <v>2014</v>
      </c>
      <c r="B25">
        <v>0</v>
      </c>
      <c r="C25">
        <v>1</v>
      </c>
      <c r="D25">
        <v>2</v>
      </c>
      <c r="E25">
        <v>19</v>
      </c>
      <c r="F25">
        <v>45</v>
      </c>
      <c r="G25">
        <v>33</v>
      </c>
      <c r="H25">
        <f>SUM(B25:G25)</f>
        <v>100</v>
      </c>
      <c r="I25" s="54" cm="1">
        <f t="array" ref="I25">SUMPRODUCT(Table9[[#This Row],[0]:[5]],_xlfn.NUMBERVALUE(Table9[[#Headers],[0]:[5]]))/Table9[[#This Row],[Samples]]</f>
        <v>4.07</v>
      </c>
    </row>
    <row r="26" spans="1:9" x14ac:dyDescent="0.2">
      <c r="A26" s="5"/>
    </row>
    <row r="27" spans="1:9" x14ac:dyDescent="0.2">
      <c r="A27" s="5" t="s">
        <v>14</v>
      </c>
      <c r="H27" t="s">
        <v>12</v>
      </c>
    </row>
    <row r="28" spans="1:9" x14ac:dyDescent="0.2">
      <c r="A28" t="s">
        <v>2</v>
      </c>
      <c r="B28" t="s">
        <v>3</v>
      </c>
      <c r="C28" t="s">
        <v>4</v>
      </c>
      <c r="D28" t="s">
        <v>5</v>
      </c>
      <c r="E28" t="s">
        <v>6</v>
      </c>
      <c r="F28" t="s">
        <v>7</v>
      </c>
      <c r="G28" t="s">
        <v>8</v>
      </c>
      <c r="H28" t="s">
        <v>9</v>
      </c>
      <c r="I28" s="54" t="s">
        <v>10</v>
      </c>
    </row>
    <row r="29" spans="1:9" x14ac:dyDescent="0.2">
      <c r="A29">
        <v>2010</v>
      </c>
      <c r="B29">
        <v>2</v>
      </c>
      <c r="C29">
        <v>3</v>
      </c>
      <c r="D29">
        <v>5</v>
      </c>
      <c r="E29">
        <v>15</v>
      </c>
      <c r="F29">
        <v>41</v>
      </c>
      <c r="G29">
        <v>34</v>
      </c>
      <c r="H29">
        <f>SUM(B29:G29)</f>
        <v>100</v>
      </c>
      <c r="I29" s="54" cm="1">
        <f t="array" ref="I29">SUMPRODUCT(Table10[[#This Row],[0]:[5]],_xlfn.NUMBERVALUE(Table10[[#Headers],[0]:[5]]))/Table10[[#This Row],[Samples]]</f>
        <v>3.92</v>
      </c>
    </row>
    <row r="30" spans="1:9" x14ac:dyDescent="0.2">
      <c r="A30">
        <v>2011</v>
      </c>
      <c r="B30">
        <v>1</v>
      </c>
      <c r="C30">
        <v>2</v>
      </c>
      <c r="D30">
        <v>7</v>
      </c>
      <c r="E30">
        <v>15</v>
      </c>
      <c r="F30">
        <v>41</v>
      </c>
      <c r="G30">
        <v>34</v>
      </c>
      <c r="H30">
        <f>SUM(B30:G30)</f>
        <v>100</v>
      </c>
      <c r="I30" s="54" cm="1">
        <f t="array" ref="I30">SUMPRODUCT(Table10[[#This Row],[0]:[5]],_xlfn.NUMBERVALUE(Table10[[#Headers],[0]:[5]]))/Table10[[#This Row],[Samples]]</f>
        <v>3.95</v>
      </c>
    </row>
    <row r="31" spans="1:9" x14ac:dyDescent="0.2">
      <c r="A31">
        <v>2012</v>
      </c>
      <c r="B31">
        <v>1</v>
      </c>
      <c r="C31">
        <v>2</v>
      </c>
      <c r="D31">
        <v>5</v>
      </c>
      <c r="E31">
        <v>16</v>
      </c>
      <c r="F31">
        <v>40</v>
      </c>
      <c r="G31">
        <v>36</v>
      </c>
      <c r="H31">
        <f>SUM(B31:G31)</f>
        <v>100</v>
      </c>
      <c r="I31" s="54" cm="1">
        <f t="array" ref="I31">SUMPRODUCT(Table10[[#This Row],[0]:[5]],_xlfn.NUMBERVALUE(Table10[[#Headers],[0]:[5]]))/Table10[[#This Row],[Samples]]</f>
        <v>4</v>
      </c>
    </row>
    <row r="32" spans="1:9" x14ac:dyDescent="0.2">
      <c r="A32">
        <v>2013</v>
      </c>
      <c r="B32">
        <v>0</v>
      </c>
      <c r="C32">
        <v>2</v>
      </c>
      <c r="D32">
        <v>4</v>
      </c>
      <c r="E32">
        <v>17</v>
      </c>
      <c r="F32">
        <v>40</v>
      </c>
      <c r="G32">
        <v>37</v>
      </c>
      <c r="H32">
        <f>SUM(B32:G32)</f>
        <v>100</v>
      </c>
      <c r="I32" s="54" cm="1">
        <f t="array" ref="I32">SUMPRODUCT(Table10[[#This Row],[0]:[5]],_xlfn.NUMBERVALUE(Table10[[#Headers],[0]:[5]]))/Table10[[#This Row],[Samples]]</f>
        <v>4.0599999999999996</v>
      </c>
    </row>
    <row r="33" spans="1:9" x14ac:dyDescent="0.2">
      <c r="A33">
        <v>2014</v>
      </c>
      <c r="B33">
        <v>0</v>
      </c>
      <c r="C33">
        <v>1</v>
      </c>
      <c r="D33">
        <v>3</v>
      </c>
      <c r="E33">
        <v>19</v>
      </c>
      <c r="F33">
        <v>42</v>
      </c>
      <c r="G33">
        <v>35</v>
      </c>
      <c r="H33">
        <f>SUM(B33:G33)</f>
        <v>100</v>
      </c>
      <c r="I33" s="54" cm="1">
        <f t="array" ref="I33">SUMPRODUCT(Table10[[#This Row],[0]:[5]],_xlfn.NUMBERVALUE(Table10[[#Headers],[0]:[5]]))/Table10[[#This Row],[Samples]]</f>
        <v>4.07</v>
      </c>
    </row>
    <row r="34" spans="1:9" x14ac:dyDescent="0.2">
      <c r="A34" s="5"/>
    </row>
    <row r="35" spans="1:9" x14ac:dyDescent="0.2">
      <c r="A35" s="5" t="s">
        <v>15</v>
      </c>
      <c r="H35" t="s">
        <v>12</v>
      </c>
    </row>
    <row r="36" spans="1:9" x14ac:dyDescent="0.2">
      <c r="A36" t="s">
        <v>2</v>
      </c>
      <c r="B36" t="s">
        <v>3</v>
      </c>
      <c r="C36" t="s">
        <v>4</v>
      </c>
      <c r="D36" t="s">
        <v>5</v>
      </c>
      <c r="E36" t="s">
        <v>6</v>
      </c>
      <c r="F36" t="s">
        <v>7</v>
      </c>
      <c r="G36" t="s">
        <v>8</v>
      </c>
      <c r="H36" t="s">
        <v>9</v>
      </c>
      <c r="I36" s="54" t="s">
        <v>10</v>
      </c>
    </row>
    <row r="37" spans="1:9" x14ac:dyDescent="0.2">
      <c r="A37">
        <v>2010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s="54">
        <v>0</v>
      </c>
    </row>
    <row r="38" spans="1:9" x14ac:dyDescent="0.2">
      <c r="A38">
        <v>2011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s="54">
        <v>0</v>
      </c>
    </row>
    <row r="39" spans="1:9" x14ac:dyDescent="0.2">
      <c r="A39">
        <v>2012</v>
      </c>
      <c r="B39">
        <v>0</v>
      </c>
      <c r="C39">
        <v>3</v>
      </c>
      <c r="D39">
        <v>3</v>
      </c>
      <c r="E39">
        <v>6</v>
      </c>
      <c r="F39">
        <v>28</v>
      </c>
      <c r="G39">
        <v>10</v>
      </c>
      <c r="H39">
        <f>SUM(B39:G39)</f>
        <v>50</v>
      </c>
      <c r="I39" s="54" cm="1">
        <f t="array" ref="I39">SUMPRODUCT(Table11[[#This Row],[0]:[5]],_xlfn.NUMBERVALUE(Table11[[#Headers],[0]:[5]]))/Table11[[#This Row],[Samples]]</f>
        <v>3.78</v>
      </c>
    </row>
    <row r="40" spans="1:9" x14ac:dyDescent="0.2">
      <c r="A40">
        <v>2013</v>
      </c>
      <c r="B40">
        <v>1</v>
      </c>
      <c r="C40">
        <v>2</v>
      </c>
      <c r="D40">
        <v>2</v>
      </c>
      <c r="E40">
        <v>4</v>
      </c>
      <c r="F40">
        <v>30</v>
      </c>
      <c r="G40">
        <v>11</v>
      </c>
      <c r="H40">
        <f>SUM(B40:G40)</f>
        <v>50</v>
      </c>
      <c r="I40" s="54" cm="1">
        <f t="array" ref="I40">SUMPRODUCT(Table11[[#This Row],[0]:[5]],_xlfn.NUMBERVALUE(Table11[[#Headers],[0]:[5]]))/Table11[[#This Row],[Samples]]</f>
        <v>3.86</v>
      </c>
    </row>
    <row r="41" spans="1:9" x14ac:dyDescent="0.2">
      <c r="A41">
        <v>2014</v>
      </c>
      <c r="B41">
        <v>0</v>
      </c>
      <c r="C41">
        <v>1</v>
      </c>
      <c r="D41">
        <v>1</v>
      </c>
      <c r="E41">
        <v>3</v>
      </c>
      <c r="F41">
        <v>31</v>
      </c>
      <c r="G41">
        <v>14</v>
      </c>
      <c r="H41">
        <f>SUM(B41:G41)</f>
        <v>50</v>
      </c>
      <c r="I41" s="54" cm="1">
        <f t="array" ref="I41">SUMPRODUCT(Table11[[#This Row],[0]:[5]],_xlfn.NUMBERVALUE(Table11[[#Headers],[0]:[5]]))/Table11[[#This Row],[Samples]]</f>
        <v>4.12</v>
      </c>
    </row>
    <row r="42" spans="1:9" x14ac:dyDescent="0.2">
      <c r="A42" s="5"/>
    </row>
    <row r="43" spans="1:9" x14ac:dyDescent="0.2">
      <c r="A43" s="5" t="s">
        <v>16</v>
      </c>
    </row>
    <row r="44" spans="1:9" x14ac:dyDescent="0.2">
      <c r="A44" t="s">
        <v>2</v>
      </c>
      <c r="B44" t="s">
        <v>3</v>
      </c>
      <c r="C44" t="s">
        <v>4</v>
      </c>
      <c r="D44" t="s">
        <v>5</v>
      </c>
      <c r="E44" t="s">
        <v>6</v>
      </c>
      <c r="F44" t="s">
        <v>7</v>
      </c>
      <c r="G44" t="s">
        <v>8</v>
      </c>
      <c r="H44" t="s">
        <v>9</v>
      </c>
      <c r="I44" s="54" t="s">
        <v>10</v>
      </c>
    </row>
    <row r="45" spans="1:9" x14ac:dyDescent="0.2">
      <c r="A45">
        <v>2010</v>
      </c>
      <c r="B45">
        <f t="shared" ref="B45:B49" si="0">SUM(B5,B13,B21,B29,B37)</f>
        <v>5</v>
      </c>
      <c r="C45">
        <f t="shared" ref="C45:C49" si="1">SUM(C5,C13,C21,C29,C37)</f>
        <v>10</v>
      </c>
      <c r="D45">
        <f t="shared" ref="D45:D49" si="2">SUM(D5,D13,D21,D29,D37)</f>
        <v>20</v>
      </c>
      <c r="E45">
        <f t="shared" ref="E45:E49" si="3">SUM(E5,E13,E21,E29,E37)</f>
        <v>69</v>
      </c>
      <c r="F45">
        <f t="shared" ref="F45:F49" si="4">SUM(F5,F13,F21,F29,F37)</f>
        <v>150</v>
      </c>
      <c r="G45">
        <f t="shared" ref="G45:G49" si="5">SUM(G5,G13,G21,G29,G37)</f>
        <v>146</v>
      </c>
      <c r="H45">
        <f t="shared" ref="H45:H49" si="6">SUM(H5,H13,H21,H29,H37)</f>
        <v>400</v>
      </c>
      <c r="I45" s="54" cm="1">
        <f t="array" ref="I45">SUMPRODUCT(Table12[[#This Row],[0]:[5]],_xlfn.NUMBERVALUE(Table12[[#Headers],[0]:[5]])/Table12[[#This Row],[Samples]])</f>
        <v>3.9675000000000002</v>
      </c>
    </row>
    <row r="46" spans="1:9" x14ac:dyDescent="0.2">
      <c r="A46">
        <v>2011</v>
      </c>
      <c r="B46">
        <f t="shared" si="0"/>
        <v>4</v>
      </c>
      <c r="C46">
        <f t="shared" si="1"/>
        <v>9</v>
      </c>
      <c r="D46">
        <f t="shared" si="2"/>
        <v>22</v>
      </c>
      <c r="E46">
        <f t="shared" si="3"/>
        <v>71</v>
      </c>
      <c r="F46">
        <f t="shared" si="4"/>
        <v>146</v>
      </c>
      <c r="G46">
        <f t="shared" si="5"/>
        <v>148</v>
      </c>
      <c r="H46">
        <f t="shared" si="6"/>
        <v>400</v>
      </c>
      <c r="I46" s="54" cm="1">
        <f t="array" ref="I46">SUMPRODUCT(Table12[[#This Row],[0]:[5]],_xlfn.NUMBERVALUE(Table12[[#Headers],[0]:[5]])/Table12[[#This Row],[Samples]])</f>
        <v>3.9750000000000001</v>
      </c>
    </row>
    <row r="47" spans="1:9" x14ac:dyDescent="0.2">
      <c r="A47">
        <v>2012</v>
      </c>
      <c r="B47">
        <f t="shared" si="0"/>
        <v>3</v>
      </c>
      <c r="C47">
        <f t="shared" si="1"/>
        <v>10</v>
      </c>
      <c r="D47">
        <f t="shared" si="2"/>
        <v>23</v>
      </c>
      <c r="E47">
        <f t="shared" si="3"/>
        <v>84</v>
      </c>
      <c r="F47">
        <f t="shared" si="4"/>
        <v>176</v>
      </c>
      <c r="G47">
        <f t="shared" si="5"/>
        <v>154</v>
      </c>
      <c r="H47">
        <f t="shared" si="6"/>
        <v>450</v>
      </c>
      <c r="I47" s="54" cm="1">
        <f t="array" ref="I47">SUMPRODUCT(Table12[[#This Row],[0]:[5]],_xlfn.NUMBERVALUE(Table12[[#Headers],[0]:[5]])/Table12[[#This Row],[Samples]])</f>
        <v>3.9600000000000004</v>
      </c>
    </row>
    <row r="48" spans="1:9" x14ac:dyDescent="0.2">
      <c r="A48">
        <v>2013</v>
      </c>
      <c r="B48">
        <f t="shared" si="0"/>
        <v>2</v>
      </c>
      <c r="C48">
        <f t="shared" si="1"/>
        <v>9</v>
      </c>
      <c r="D48">
        <f t="shared" si="2"/>
        <v>18</v>
      </c>
      <c r="E48">
        <f t="shared" si="3"/>
        <v>73</v>
      </c>
      <c r="F48">
        <f t="shared" si="4"/>
        <v>181</v>
      </c>
      <c r="G48">
        <f t="shared" si="5"/>
        <v>167</v>
      </c>
      <c r="H48">
        <f t="shared" si="6"/>
        <v>450</v>
      </c>
      <c r="I48" s="54" cm="1">
        <f t="array" ref="I48">SUMPRODUCT(Table12[[#This Row],[0]:[5]],_xlfn.NUMBERVALUE(Table12[[#Headers],[0]:[5]])/Table12[[#This Row],[Samples]])</f>
        <v>4.0511111111111111</v>
      </c>
    </row>
    <row r="49" spans="1:9" x14ac:dyDescent="0.2">
      <c r="A49">
        <v>2014</v>
      </c>
      <c r="B49">
        <f t="shared" si="0"/>
        <v>0</v>
      </c>
      <c r="C49">
        <f t="shared" si="1"/>
        <v>7</v>
      </c>
      <c r="D49">
        <f t="shared" si="2"/>
        <v>14</v>
      </c>
      <c r="E49">
        <f t="shared" si="3"/>
        <v>75</v>
      </c>
      <c r="F49">
        <f t="shared" si="4"/>
        <v>186</v>
      </c>
      <c r="G49">
        <f t="shared" si="5"/>
        <v>168</v>
      </c>
      <c r="H49">
        <f t="shared" si="6"/>
        <v>450</v>
      </c>
      <c r="I49" s="54" cm="1">
        <f t="array" ref="I49">SUMPRODUCT(Table12[[#This Row],[0]:[5]],_xlfn.NUMBERVALUE(Table12[[#Headers],[0]:[5]])/Table12[[#This Row],[Samples]])</f>
        <v>4.0977777777777771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ignoredErrors>
    <ignoredError sqref="H11 H19 H27 H35" formulaRange="1"/>
  </ignoredErrors>
  <drawing r:id="rId1"/>
  <tableParts count="6">
    <tablePart r:id="rId2"/>
    <tablePart r:id="rId3"/>
    <tablePart r:id="rId4"/>
    <tablePart r:id="rId5"/>
    <tablePart r:id="rId6"/>
    <tablePart r:id="rId7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66"/>
  <sheetViews>
    <sheetView zoomScale="85" zoomScaleNormal="85" workbookViewId="0">
      <selection activeCell="J39" sqref="J39"/>
    </sheetView>
  </sheetViews>
  <sheetFormatPr defaultColWidth="8.85546875" defaultRowHeight="12.75" x14ac:dyDescent="0.2"/>
  <cols>
    <col min="1" max="1" width="15.42578125" style="28" customWidth="1"/>
    <col min="2" max="2" width="12.42578125" customWidth="1"/>
    <col min="3" max="3" width="10.140625" customWidth="1"/>
    <col min="4" max="4" width="10" customWidth="1"/>
    <col min="5" max="5" width="9.28515625" customWidth="1"/>
    <col min="6" max="6" width="11.140625" customWidth="1"/>
    <col min="7" max="7" width="9.85546875" customWidth="1"/>
    <col min="8" max="8" width="13.85546875" style="53" customWidth="1"/>
    <col min="9" max="27" width="10" customWidth="1"/>
  </cols>
  <sheetData>
    <row r="1" spans="1:26" ht="39.75" customHeight="1" thickBot="1" x14ac:dyDescent="0.25">
      <c r="A1" s="51" t="s">
        <v>30</v>
      </c>
      <c r="B1" s="45" t="s">
        <v>31</v>
      </c>
      <c r="C1" s="45" t="s">
        <v>23</v>
      </c>
      <c r="D1" s="45" t="s">
        <v>24</v>
      </c>
      <c r="E1" s="45" t="s">
        <v>25</v>
      </c>
      <c r="F1" s="45" t="s">
        <v>26</v>
      </c>
      <c r="G1" s="45" t="s">
        <v>15</v>
      </c>
      <c r="H1" s="52" t="s">
        <v>72</v>
      </c>
      <c r="T1" s="31"/>
      <c r="U1" s="31"/>
      <c r="V1" s="31"/>
      <c r="W1" s="31"/>
      <c r="X1" s="31"/>
      <c r="Y1" s="31"/>
      <c r="Z1" s="31"/>
    </row>
    <row r="2" spans="1:26" ht="13.5" thickTop="1" x14ac:dyDescent="0.2">
      <c r="A2" s="28">
        <v>40179</v>
      </c>
      <c r="B2">
        <f>SUM(C2:G2)</f>
        <v>169</v>
      </c>
      <c r="C2">
        <v>102</v>
      </c>
      <c r="D2">
        <v>12</v>
      </c>
      <c r="E2">
        <v>52</v>
      </c>
      <c r="F2">
        <v>3</v>
      </c>
      <c r="H2" s="53">
        <f>Complaints[[#This Row],[World]]/SUM(MowerSales[[#This Row],[World]],TractorSales[[#This Row],[World]])</f>
        <v>1.9623780771017185E-2</v>
      </c>
      <c r="T2" s="31"/>
      <c r="U2" s="31"/>
      <c r="V2" s="31"/>
      <c r="W2" s="31"/>
      <c r="X2" s="31"/>
      <c r="Y2" s="31"/>
      <c r="Z2" s="31"/>
    </row>
    <row r="3" spans="1:26" x14ac:dyDescent="0.2">
      <c r="A3" s="28">
        <v>40210</v>
      </c>
      <c r="B3">
        <f t="shared" ref="B3:B61" si="0">SUM(C3:G3)</f>
        <v>187</v>
      </c>
      <c r="C3">
        <v>115</v>
      </c>
      <c r="D3">
        <v>13</v>
      </c>
      <c r="E3">
        <v>55</v>
      </c>
      <c r="F3">
        <v>4</v>
      </c>
      <c r="H3" s="53">
        <f>Complaints[[#This Row],[World]]/SUM(MowerSales[[#This Row],[World]],TractorSales[[#This Row],[World]])</f>
        <v>1.701392048039305E-2</v>
      </c>
      <c r="T3" s="31"/>
      <c r="U3" s="31"/>
      <c r="V3" s="31"/>
      <c r="W3" s="31"/>
      <c r="X3" s="31"/>
      <c r="Y3" s="31"/>
      <c r="Z3" s="31"/>
    </row>
    <row r="4" spans="1:26" x14ac:dyDescent="0.2">
      <c r="A4" s="28">
        <v>40238</v>
      </c>
      <c r="B4">
        <f t="shared" si="0"/>
        <v>210</v>
      </c>
      <c r="C4">
        <v>128</v>
      </c>
      <c r="D4">
        <v>15</v>
      </c>
      <c r="E4">
        <v>61</v>
      </c>
      <c r="F4">
        <v>6</v>
      </c>
      <c r="H4" s="53">
        <f>Complaints[[#This Row],[World]]/SUM(MowerSales[[#This Row],[World]],TractorSales[[#This Row],[World]])</f>
        <v>1.8119068162208801E-2</v>
      </c>
      <c r="T4" s="32"/>
      <c r="U4" s="32"/>
      <c r="V4" s="32"/>
      <c r="W4" s="32"/>
      <c r="X4" s="32"/>
      <c r="Y4" s="31"/>
      <c r="Z4" s="31"/>
    </row>
    <row r="5" spans="1:26" x14ac:dyDescent="0.2">
      <c r="A5" s="28">
        <v>40269</v>
      </c>
      <c r="B5">
        <f t="shared" si="0"/>
        <v>226</v>
      </c>
      <c r="C5">
        <v>136</v>
      </c>
      <c r="D5">
        <v>16</v>
      </c>
      <c r="E5">
        <v>67</v>
      </c>
      <c r="F5">
        <v>7</v>
      </c>
      <c r="H5" s="53">
        <f>Complaints[[#This Row],[World]]/SUM(MowerSales[[#This Row],[World]],TractorSales[[#This Row],[World]])</f>
        <v>1.7428857869977634E-2</v>
      </c>
      <c r="J5" s="31"/>
      <c r="K5" s="31"/>
      <c r="L5" s="31"/>
      <c r="M5" s="31"/>
      <c r="N5" s="31"/>
      <c r="O5" s="31"/>
      <c r="P5" s="31"/>
      <c r="Q5" s="31"/>
      <c r="R5" s="31"/>
      <c r="S5" s="31"/>
      <c r="T5" s="13"/>
      <c r="U5" s="13"/>
      <c r="V5" s="13"/>
      <c r="W5" s="13"/>
      <c r="X5" s="13"/>
      <c r="Y5" s="31"/>
      <c r="Z5" s="31"/>
    </row>
    <row r="6" spans="1:26" x14ac:dyDescent="0.2">
      <c r="A6" s="28">
        <v>40299</v>
      </c>
      <c r="B6">
        <f t="shared" si="0"/>
        <v>232</v>
      </c>
      <c r="C6">
        <v>137</v>
      </c>
      <c r="D6">
        <v>17</v>
      </c>
      <c r="E6">
        <v>73</v>
      </c>
      <c r="F6">
        <v>5</v>
      </c>
      <c r="H6" s="53">
        <f>Complaints[[#This Row],[World]]/SUM(MowerSales[[#This Row],[World]],TractorSales[[#This Row],[World]])</f>
        <v>1.6923189145816617E-2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13"/>
      <c r="U6" s="13"/>
      <c r="V6" s="13"/>
      <c r="W6" s="13"/>
      <c r="X6" s="13"/>
      <c r="Y6" s="31"/>
      <c r="Z6" s="31"/>
    </row>
    <row r="7" spans="1:26" x14ac:dyDescent="0.2">
      <c r="A7" s="28">
        <v>40330</v>
      </c>
      <c r="B7">
        <f t="shared" si="0"/>
        <v>261</v>
      </c>
      <c r="C7">
        <v>151</v>
      </c>
      <c r="D7">
        <v>19</v>
      </c>
      <c r="E7">
        <v>82</v>
      </c>
      <c r="F7">
        <v>9</v>
      </c>
      <c r="H7" s="53">
        <f>Complaints[[#This Row],[World]]/SUM(MowerSales[[#This Row],[World]],TractorSales[[#This Row],[World]])</f>
        <v>1.8669527896995709E-2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13"/>
      <c r="U7" s="13"/>
      <c r="V7" s="13"/>
      <c r="W7" s="13"/>
      <c r="X7" s="13"/>
      <c r="Y7" s="31"/>
      <c r="Z7" s="31"/>
    </row>
    <row r="8" spans="1:26" x14ac:dyDescent="0.2">
      <c r="A8" s="28">
        <v>40360</v>
      </c>
      <c r="B8">
        <f t="shared" si="0"/>
        <v>245</v>
      </c>
      <c r="C8">
        <v>140</v>
      </c>
      <c r="D8">
        <v>18</v>
      </c>
      <c r="E8">
        <v>80</v>
      </c>
      <c r="F8">
        <v>7</v>
      </c>
      <c r="H8" s="53">
        <f>Complaints[[#This Row],[World]]/SUM(MowerSales[[#This Row],[World]],TractorSales[[#This Row],[World]])</f>
        <v>1.9497055546713354E-2</v>
      </c>
      <c r="J8" s="31"/>
      <c r="K8" s="31"/>
      <c r="L8" s="31"/>
      <c r="M8" s="31"/>
      <c r="N8" s="31"/>
      <c r="O8" s="31"/>
      <c r="P8" s="31"/>
      <c r="Q8" s="31"/>
      <c r="R8" s="31"/>
      <c r="S8" s="31"/>
      <c r="T8" s="13"/>
      <c r="U8" s="13"/>
      <c r="V8" s="13"/>
      <c r="W8" s="13"/>
      <c r="X8" s="13"/>
      <c r="Y8" s="31"/>
      <c r="Z8" s="31"/>
    </row>
    <row r="9" spans="1:26" x14ac:dyDescent="0.2">
      <c r="A9" s="28">
        <v>40391</v>
      </c>
      <c r="B9">
        <f t="shared" si="0"/>
        <v>223</v>
      </c>
      <c r="C9">
        <v>128</v>
      </c>
      <c r="D9">
        <v>16</v>
      </c>
      <c r="E9">
        <v>76</v>
      </c>
      <c r="F9">
        <v>3</v>
      </c>
      <c r="H9" s="53">
        <f>Complaints[[#This Row],[World]]/SUM(MowerSales[[#This Row],[World]],TractorSales[[#This Row],[World]])</f>
        <v>1.8938428874734608E-2</v>
      </c>
      <c r="J9" s="35"/>
      <c r="K9" s="31"/>
      <c r="L9" s="31"/>
      <c r="M9" s="31"/>
      <c r="N9" s="31"/>
      <c r="O9" s="31"/>
      <c r="P9" s="31"/>
      <c r="Q9" s="31"/>
      <c r="R9" s="31"/>
      <c r="S9" s="31"/>
      <c r="T9" s="13"/>
      <c r="U9" s="13"/>
      <c r="V9" s="13"/>
      <c r="W9" s="13"/>
      <c r="X9" s="13"/>
      <c r="Y9" s="31"/>
      <c r="Z9" s="31"/>
    </row>
    <row r="10" spans="1:26" x14ac:dyDescent="0.2">
      <c r="A10" s="28">
        <v>40422</v>
      </c>
      <c r="B10">
        <f t="shared" si="0"/>
        <v>195</v>
      </c>
      <c r="C10">
        <v>103</v>
      </c>
      <c r="D10">
        <v>15</v>
      </c>
      <c r="E10">
        <v>73</v>
      </c>
      <c r="F10">
        <v>4</v>
      </c>
      <c r="H10" s="53">
        <f>Complaints[[#This Row],[World]]/SUM(MowerSales[[#This Row],[World]],TractorSales[[#This Row],[World]])</f>
        <v>1.9285926218969438E-2</v>
      </c>
      <c r="J10" s="32"/>
      <c r="K10" s="32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">
      <c r="A11" s="28">
        <v>40452</v>
      </c>
      <c r="B11">
        <f t="shared" si="0"/>
        <v>174</v>
      </c>
      <c r="C11">
        <v>96</v>
      </c>
      <c r="D11">
        <v>14</v>
      </c>
      <c r="E11">
        <v>62</v>
      </c>
      <c r="F11">
        <v>2</v>
      </c>
      <c r="H11" s="53">
        <f>Complaints[[#This Row],[World]]/SUM(MowerSales[[#This Row],[World]],TractorSales[[#This Row],[World]])</f>
        <v>1.868356061419521E-2</v>
      </c>
      <c r="J11" s="13"/>
      <c r="K11" s="13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">
      <c r="A12" s="28">
        <v>40483</v>
      </c>
      <c r="B12">
        <f t="shared" si="0"/>
        <v>154</v>
      </c>
      <c r="C12">
        <v>84</v>
      </c>
      <c r="D12">
        <v>11</v>
      </c>
      <c r="E12">
        <v>59</v>
      </c>
      <c r="F12">
        <v>0</v>
      </c>
      <c r="H12" s="53">
        <f>Complaints[[#This Row],[World]]/SUM(MowerSales[[#This Row],[World]],TractorSales[[#This Row],[World]])</f>
        <v>1.817109144542773E-2</v>
      </c>
      <c r="J12" s="13"/>
      <c r="K12" s="13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">
      <c r="A13" s="28">
        <v>40513</v>
      </c>
      <c r="B13">
        <f t="shared" si="0"/>
        <v>163</v>
      </c>
      <c r="C13">
        <v>99</v>
      </c>
      <c r="D13">
        <v>9</v>
      </c>
      <c r="E13">
        <v>54</v>
      </c>
      <c r="F13">
        <v>1</v>
      </c>
      <c r="H13" s="53">
        <f>Complaints[[#This Row],[World]]/SUM(MowerSales[[#This Row],[World]],TractorSales[[#This Row],[World]])</f>
        <v>2.2207084468664848E-2</v>
      </c>
      <c r="J13" s="13"/>
      <c r="K13" s="13"/>
      <c r="L13" s="31"/>
      <c r="M13" s="31"/>
      <c r="N13" s="31"/>
      <c r="O13" s="31"/>
      <c r="P13" s="31"/>
      <c r="Q13" s="31"/>
      <c r="R13" s="31"/>
      <c r="S13" s="31"/>
      <c r="T13" s="32"/>
      <c r="U13" s="32"/>
      <c r="V13" s="32"/>
      <c r="W13" s="32"/>
      <c r="X13" s="32"/>
      <c r="Y13" s="32"/>
      <c r="Z13" s="32"/>
    </row>
    <row r="14" spans="1:26" x14ac:dyDescent="0.2">
      <c r="A14" s="28">
        <v>40544</v>
      </c>
      <c r="B14">
        <f t="shared" si="0"/>
        <v>195</v>
      </c>
      <c r="C14">
        <v>123</v>
      </c>
      <c r="D14">
        <v>10</v>
      </c>
      <c r="E14">
        <v>59</v>
      </c>
      <c r="F14">
        <v>3</v>
      </c>
      <c r="H14" s="53">
        <f>Complaints[[#This Row],[World]]/SUM(MowerSales[[#This Row],[World]],TractorSales[[#This Row],[World]])</f>
        <v>2.2207037922787838E-2</v>
      </c>
      <c r="J14" s="13"/>
      <c r="K14" s="13"/>
      <c r="L14" s="31"/>
      <c r="M14" s="31"/>
      <c r="N14" s="31"/>
      <c r="O14" s="31"/>
      <c r="P14" s="31"/>
      <c r="Q14" s="31"/>
      <c r="R14" s="31"/>
      <c r="S14" s="31"/>
      <c r="T14" s="13"/>
      <c r="U14" s="13"/>
      <c r="V14" s="13"/>
      <c r="W14" s="13"/>
      <c r="X14" s="13"/>
      <c r="Y14" s="13"/>
      <c r="Z14" s="13"/>
    </row>
    <row r="15" spans="1:26" x14ac:dyDescent="0.2">
      <c r="A15" s="28">
        <v>40575</v>
      </c>
      <c r="B15">
        <f t="shared" si="0"/>
        <v>221</v>
      </c>
      <c r="C15">
        <v>141</v>
      </c>
      <c r="D15">
        <v>13</v>
      </c>
      <c r="E15">
        <v>62</v>
      </c>
      <c r="F15">
        <v>5</v>
      </c>
      <c r="H15" s="53">
        <f>Complaints[[#This Row],[World]]/SUM(MowerSales[[#This Row],[World]],TractorSales[[#This Row],[World]])</f>
        <v>1.9972887483054678E-2</v>
      </c>
      <c r="J15" s="13"/>
      <c r="K15" s="13"/>
      <c r="L15" s="31"/>
      <c r="M15" s="31"/>
      <c r="N15" s="31"/>
      <c r="O15" s="31"/>
      <c r="P15" s="31"/>
      <c r="Q15" s="38"/>
      <c r="R15" s="43"/>
      <c r="S15" s="43"/>
      <c r="T15" s="13"/>
      <c r="U15" s="13"/>
      <c r="V15" s="13"/>
      <c r="W15" s="13"/>
      <c r="X15" s="13"/>
      <c r="Y15" s="13"/>
      <c r="Z15" s="13"/>
    </row>
    <row r="16" spans="1:26" x14ac:dyDescent="0.2">
      <c r="A16" s="28">
        <v>40603</v>
      </c>
      <c r="B16">
        <f t="shared" si="0"/>
        <v>240</v>
      </c>
      <c r="C16">
        <v>152</v>
      </c>
      <c r="D16">
        <v>16</v>
      </c>
      <c r="E16">
        <v>66</v>
      </c>
      <c r="F16">
        <v>6</v>
      </c>
      <c r="H16" s="53">
        <f>Complaints[[#This Row],[World]]/SUM(MowerSales[[#This Row],[World]],TractorSales[[#This Row],[World]])</f>
        <v>1.968503937007874E-2</v>
      </c>
      <c r="J16" s="13"/>
      <c r="K16" s="13"/>
      <c r="L16" s="31"/>
      <c r="M16" s="31"/>
      <c r="N16" s="31"/>
      <c r="O16" s="31"/>
      <c r="P16" s="31"/>
      <c r="Q16" s="22"/>
      <c r="R16" s="21"/>
      <c r="S16" s="21"/>
      <c r="T16" s="13"/>
      <c r="U16" s="13"/>
      <c r="V16" s="13"/>
      <c r="W16" s="13"/>
      <c r="X16" s="13"/>
      <c r="Y16" s="13"/>
      <c r="Z16" s="13"/>
    </row>
    <row r="17" spans="1:26" x14ac:dyDescent="0.2">
      <c r="A17" s="28">
        <v>40634</v>
      </c>
      <c r="B17">
        <f t="shared" si="0"/>
        <v>264</v>
      </c>
      <c r="C17">
        <v>163</v>
      </c>
      <c r="D17">
        <v>20</v>
      </c>
      <c r="E17">
        <v>70</v>
      </c>
      <c r="F17">
        <v>11</v>
      </c>
      <c r="H17" s="53">
        <f>Complaints[[#This Row],[World]]/SUM(MowerSales[[#This Row],[World]],TractorSales[[#This Row],[World]])</f>
        <v>1.9954648526077097E-2</v>
      </c>
      <c r="J17" s="13"/>
      <c r="K17" s="13"/>
      <c r="L17" s="31"/>
      <c r="M17" s="31"/>
      <c r="N17" s="31"/>
      <c r="O17" s="31"/>
      <c r="P17" s="31"/>
      <c r="Q17" s="22"/>
      <c r="R17" s="21"/>
      <c r="S17" s="21"/>
      <c r="T17" s="13"/>
      <c r="U17" s="13"/>
      <c r="V17" s="13"/>
      <c r="W17" s="13"/>
      <c r="X17" s="13"/>
      <c r="Y17" s="13"/>
      <c r="Z17" s="13"/>
    </row>
    <row r="18" spans="1:26" x14ac:dyDescent="0.2">
      <c r="A18" s="28">
        <v>40664</v>
      </c>
      <c r="B18">
        <f t="shared" si="0"/>
        <v>283</v>
      </c>
      <c r="C18">
        <v>178</v>
      </c>
      <c r="D18">
        <v>22</v>
      </c>
      <c r="E18">
        <v>75</v>
      </c>
      <c r="F18">
        <v>8</v>
      </c>
      <c r="H18" s="53">
        <f>Complaints[[#This Row],[World]]/SUM(MowerSales[[#This Row],[World]],TractorSales[[#This Row],[World]])</f>
        <v>2.0656934306569345E-2</v>
      </c>
      <c r="J18" s="13"/>
      <c r="K18" s="13"/>
      <c r="L18" s="31"/>
      <c r="M18" s="31"/>
      <c r="N18" s="31"/>
      <c r="O18" s="31"/>
      <c r="P18" s="31"/>
      <c r="Q18" s="22"/>
      <c r="R18" s="39"/>
      <c r="S18" s="39"/>
      <c r="T18" s="31"/>
    </row>
    <row r="19" spans="1:26" x14ac:dyDescent="0.2">
      <c r="A19" s="28">
        <v>40695</v>
      </c>
      <c r="B19">
        <f t="shared" si="0"/>
        <v>296</v>
      </c>
      <c r="C19">
        <v>170</v>
      </c>
      <c r="D19">
        <v>28</v>
      </c>
      <c r="E19">
        <v>86</v>
      </c>
      <c r="F19">
        <v>12</v>
      </c>
      <c r="H19" s="53">
        <f>Complaints[[#This Row],[World]]/SUM(MowerSales[[#This Row],[World]],TractorSales[[#This Row],[World]])</f>
        <v>2.0356234096692113E-2</v>
      </c>
      <c r="J19" s="31"/>
      <c r="K19" s="31"/>
      <c r="L19" s="31"/>
      <c r="M19" s="31"/>
      <c r="N19" s="31"/>
      <c r="O19" s="31"/>
      <c r="P19" s="31"/>
      <c r="Q19" s="22"/>
      <c r="R19" s="13"/>
      <c r="S19" s="13"/>
      <c r="T19" s="31"/>
    </row>
    <row r="20" spans="1:26" x14ac:dyDescent="0.2">
      <c r="A20" s="28">
        <v>40725</v>
      </c>
      <c r="B20">
        <f t="shared" si="0"/>
        <v>269</v>
      </c>
      <c r="C20">
        <v>153</v>
      </c>
      <c r="D20">
        <v>25</v>
      </c>
      <c r="E20">
        <v>81</v>
      </c>
      <c r="F20">
        <v>10</v>
      </c>
      <c r="H20" s="53">
        <f>Complaints[[#This Row],[World]]/SUM(MowerSales[[#This Row],[World]],TractorSales[[#This Row],[World]])</f>
        <v>2.0894826782662732E-2</v>
      </c>
      <c r="J20" s="31"/>
      <c r="K20" s="31"/>
      <c r="L20" s="31"/>
      <c r="M20" s="31"/>
      <c r="N20" s="31"/>
      <c r="O20" s="31"/>
      <c r="P20" s="31"/>
      <c r="Q20" s="22"/>
      <c r="R20" s="13"/>
      <c r="S20" s="13"/>
      <c r="T20" s="31"/>
    </row>
    <row r="21" spans="1:26" x14ac:dyDescent="0.2">
      <c r="A21" s="28">
        <v>40756</v>
      </c>
      <c r="B21">
        <f t="shared" si="0"/>
        <v>256</v>
      </c>
      <c r="C21">
        <v>146</v>
      </c>
      <c r="D21">
        <v>23</v>
      </c>
      <c r="E21">
        <v>79</v>
      </c>
      <c r="F21">
        <v>8</v>
      </c>
      <c r="H21" s="53">
        <f>Complaints[[#This Row],[World]]/SUM(MowerSales[[#This Row],[World]],TractorSales[[#This Row],[World]])</f>
        <v>2.1702271956595458E-2</v>
      </c>
      <c r="J21" s="31"/>
      <c r="K21" s="31"/>
      <c r="L21" s="31"/>
      <c r="M21" s="31"/>
      <c r="N21" s="31"/>
      <c r="O21" s="31"/>
      <c r="P21" s="31"/>
      <c r="Q21" s="22"/>
      <c r="R21" s="13"/>
      <c r="S21" s="13"/>
      <c r="T21" s="31"/>
    </row>
    <row r="22" spans="1:26" x14ac:dyDescent="0.2">
      <c r="A22" s="28">
        <v>40787</v>
      </c>
      <c r="B22">
        <f t="shared" si="0"/>
        <v>231</v>
      </c>
      <c r="C22">
        <v>131</v>
      </c>
      <c r="D22">
        <v>20</v>
      </c>
      <c r="E22">
        <v>73</v>
      </c>
      <c r="F22">
        <v>7</v>
      </c>
      <c r="H22" s="53">
        <f>Complaints[[#This Row],[World]]/SUM(MowerSales[[#This Row],[World]],TractorSales[[#This Row],[World]])</f>
        <v>2.2222222222222223E-2</v>
      </c>
      <c r="J22" s="35"/>
      <c r="K22" s="31"/>
      <c r="L22" s="31"/>
      <c r="M22" s="31"/>
      <c r="N22" s="31"/>
      <c r="O22" s="31"/>
      <c r="P22" s="31"/>
      <c r="Q22" s="22"/>
      <c r="R22" s="13"/>
      <c r="S22" s="13"/>
      <c r="T22" s="31"/>
    </row>
    <row r="23" spans="1:26" x14ac:dyDescent="0.2">
      <c r="A23" s="28">
        <v>40817</v>
      </c>
      <c r="B23">
        <f t="shared" si="0"/>
        <v>214</v>
      </c>
      <c r="C23">
        <v>125</v>
      </c>
      <c r="D23">
        <v>16</v>
      </c>
      <c r="E23">
        <v>68</v>
      </c>
      <c r="F23">
        <v>5</v>
      </c>
      <c r="H23" s="53">
        <f>Complaints[[#This Row],[World]]/SUM(MowerSales[[#This Row],[World]],TractorSales[[#This Row],[World]])</f>
        <v>2.2573839662447259E-2</v>
      </c>
      <c r="J23" s="32"/>
      <c r="K23" s="32"/>
      <c r="L23" s="31"/>
      <c r="M23" s="31"/>
      <c r="N23" s="31"/>
      <c r="O23" s="31"/>
      <c r="P23" s="31"/>
      <c r="Q23" s="22"/>
      <c r="R23" s="19"/>
      <c r="S23" s="13"/>
      <c r="T23" s="31"/>
    </row>
    <row r="24" spans="1:26" x14ac:dyDescent="0.2">
      <c r="A24" s="28">
        <v>40848</v>
      </c>
      <c r="B24">
        <f t="shared" si="0"/>
        <v>201</v>
      </c>
      <c r="C24">
        <v>118</v>
      </c>
      <c r="D24">
        <v>13</v>
      </c>
      <c r="E24">
        <v>66</v>
      </c>
      <c r="F24">
        <v>4</v>
      </c>
      <c r="H24" s="53">
        <f>Complaints[[#This Row],[World]]/SUM(MowerSales[[#This Row],[World]],TractorSales[[#This Row],[World]])</f>
        <v>2.455411678475446E-2</v>
      </c>
      <c r="J24" s="13"/>
      <c r="K24" s="13"/>
      <c r="L24" s="31"/>
      <c r="M24" s="31"/>
      <c r="N24" s="31"/>
      <c r="O24" s="31"/>
      <c r="P24" s="31"/>
      <c r="Q24" s="22"/>
      <c r="R24" s="19"/>
      <c r="S24" s="13"/>
      <c r="T24" s="31"/>
    </row>
    <row r="25" spans="1:26" x14ac:dyDescent="0.2">
      <c r="A25" s="28">
        <v>40878</v>
      </c>
      <c r="B25">
        <f t="shared" si="0"/>
        <v>171</v>
      </c>
      <c r="C25">
        <v>96</v>
      </c>
      <c r="D25">
        <v>11</v>
      </c>
      <c r="E25">
        <v>61</v>
      </c>
      <c r="F25">
        <v>3</v>
      </c>
      <c r="H25" s="53">
        <f>Complaints[[#This Row],[World]]/SUM(MowerSales[[#This Row],[World]],TractorSales[[#This Row],[World]])</f>
        <v>2.368421052631579E-2</v>
      </c>
      <c r="J25" s="13"/>
      <c r="K25" s="13"/>
      <c r="L25" s="31"/>
      <c r="M25" s="31"/>
      <c r="N25" s="31"/>
      <c r="O25" s="31"/>
      <c r="P25" s="31"/>
      <c r="Q25" s="22"/>
      <c r="R25" s="19"/>
      <c r="S25" s="13"/>
      <c r="T25" s="31"/>
    </row>
    <row r="26" spans="1:26" x14ac:dyDescent="0.2">
      <c r="A26" s="28">
        <v>40909</v>
      </c>
      <c r="B26">
        <f t="shared" si="0"/>
        <v>200</v>
      </c>
      <c r="C26">
        <v>112</v>
      </c>
      <c r="D26">
        <v>15</v>
      </c>
      <c r="E26">
        <v>66</v>
      </c>
      <c r="F26">
        <v>4</v>
      </c>
      <c r="G26">
        <v>3</v>
      </c>
      <c r="H26" s="53">
        <f>Complaints[[#This Row],[World]]/SUM(MowerSales[[#This Row],[World]],TractorSales[[#This Row],[World]])</f>
        <v>2.2296544035674472E-2</v>
      </c>
      <c r="J26" s="13"/>
      <c r="K26" s="13"/>
      <c r="L26" s="31"/>
      <c r="M26" s="31"/>
      <c r="N26" s="31"/>
      <c r="O26" s="31"/>
      <c r="P26" s="31"/>
      <c r="Q26" s="23"/>
      <c r="R26" s="20"/>
      <c r="S26" s="13"/>
      <c r="T26" s="31"/>
    </row>
    <row r="27" spans="1:26" x14ac:dyDescent="0.2">
      <c r="A27" s="28">
        <v>40940</v>
      </c>
      <c r="B27">
        <f t="shared" si="0"/>
        <v>216</v>
      </c>
      <c r="C27">
        <v>117</v>
      </c>
      <c r="D27">
        <v>18</v>
      </c>
      <c r="E27">
        <v>71</v>
      </c>
      <c r="F27">
        <v>6</v>
      </c>
      <c r="G27">
        <v>4</v>
      </c>
      <c r="H27" s="53">
        <f>Complaints[[#This Row],[World]]/SUM(MowerSales[[#This Row],[World]],TractorSales[[#This Row],[World]])</f>
        <v>1.8808777429467086E-2</v>
      </c>
      <c r="J27" s="13"/>
      <c r="K27" s="13"/>
      <c r="L27" s="31"/>
      <c r="M27" s="31"/>
      <c r="N27" s="31"/>
      <c r="O27" s="31"/>
      <c r="P27" s="31"/>
      <c r="Q27" s="22"/>
      <c r="R27" s="19"/>
      <c r="S27" s="13"/>
      <c r="T27" s="31"/>
    </row>
    <row r="28" spans="1:26" x14ac:dyDescent="0.2">
      <c r="A28" s="28">
        <v>40969</v>
      </c>
      <c r="B28">
        <f t="shared" si="0"/>
        <v>234</v>
      </c>
      <c r="C28">
        <v>126</v>
      </c>
      <c r="D28">
        <v>20</v>
      </c>
      <c r="E28">
        <v>76</v>
      </c>
      <c r="F28">
        <v>9</v>
      </c>
      <c r="G28">
        <v>3</v>
      </c>
      <c r="H28" s="53">
        <f>Complaints[[#This Row],[World]]/SUM(MowerSales[[#This Row],[World]],TractorSales[[#This Row],[World]])</f>
        <v>1.8749999999999999E-2</v>
      </c>
      <c r="J28" s="13"/>
      <c r="K28" s="13"/>
      <c r="L28" s="31"/>
      <c r="M28" s="31"/>
      <c r="N28" s="31"/>
      <c r="O28" s="31"/>
      <c r="P28" s="31"/>
      <c r="Q28" s="31"/>
      <c r="R28" s="31"/>
      <c r="S28" s="31"/>
      <c r="T28" s="31"/>
    </row>
    <row r="29" spans="1:26" x14ac:dyDescent="0.2">
      <c r="A29" s="28">
        <v>41000</v>
      </c>
      <c r="B29">
        <f t="shared" si="0"/>
        <v>253</v>
      </c>
      <c r="C29">
        <v>138</v>
      </c>
      <c r="D29">
        <v>23</v>
      </c>
      <c r="E29">
        <v>79</v>
      </c>
      <c r="F29">
        <v>11</v>
      </c>
      <c r="G29">
        <v>2</v>
      </c>
      <c r="H29" s="53">
        <f>Complaints[[#This Row],[World]]/SUM(MowerSales[[#This Row],[World]],TractorSales[[#This Row],[World]])</f>
        <v>1.847794332456909E-2</v>
      </c>
      <c r="J29" s="13"/>
      <c r="K29" s="13"/>
      <c r="L29" s="31"/>
      <c r="M29" s="31"/>
      <c r="N29" s="31"/>
      <c r="O29" s="31"/>
      <c r="P29" s="31"/>
      <c r="Q29" s="31"/>
      <c r="R29" s="31"/>
      <c r="S29" s="31"/>
      <c r="T29" s="31"/>
    </row>
    <row r="30" spans="1:26" x14ac:dyDescent="0.2">
      <c r="A30" s="28">
        <v>41030</v>
      </c>
      <c r="B30">
        <f t="shared" si="0"/>
        <v>282</v>
      </c>
      <c r="C30">
        <v>152</v>
      </c>
      <c r="D30">
        <v>26</v>
      </c>
      <c r="E30">
        <v>85</v>
      </c>
      <c r="F30">
        <v>14</v>
      </c>
      <c r="G30">
        <v>5</v>
      </c>
      <c r="H30" s="53">
        <f>Complaints[[#This Row],[World]]/SUM(MowerSales[[#This Row],[World]],TractorSales[[#This Row],[World]])</f>
        <v>1.9368131868131869E-2</v>
      </c>
      <c r="J30" s="13"/>
      <c r="K30" s="13"/>
      <c r="L30" s="31"/>
      <c r="M30" s="31"/>
      <c r="N30" s="31"/>
      <c r="O30" s="31"/>
      <c r="P30" s="31"/>
      <c r="Q30" s="31"/>
      <c r="R30" s="31"/>
      <c r="S30" s="31"/>
      <c r="T30" s="31"/>
    </row>
    <row r="31" spans="1:26" x14ac:dyDescent="0.2">
      <c r="A31" s="28">
        <v>41061</v>
      </c>
      <c r="B31">
        <f t="shared" si="0"/>
        <v>305</v>
      </c>
      <c r="C31">
        <v>163</v>
      </c>
      <c r="D31">
        <v>30</v>
      </c>
      <c r="E31">
        <v>91</v>
      </c>
      <c r="F31">
        <v>15</v>
      </c>
      <c r="G31">
        <v>6</v>
      </c>
      <c r="H31" s="53">
        <f>Complaints[[#This Row],[World]]/SUM(MowerSales[[#This Row],[World]],TractorSales[[#This Row],[World]])</f>
        <v>2.0208043463857416E-2</v>
      </c>
      <c r="J31" s="13"/>
      <c r="K31" s="13"/>
      <c r="L31" s="31"/>
      <c r="M31" s="31"/>
      <c r="N31" s="31"/>
      <c r="O31" s="31"/>
      <c r="P31" s="31"/>
      <c r="Q31" s="31"/>
      <c r="R31" s="31"/>
      <c r="S31" s="31"/>
      <c r="T31" s="31"/>
    </row>
    <row r="32" spans="1:26" x14ac:dyDescent="0.2">
      <c r="A32" s="28">
        <v>41091</v>
      </c>
      <c r="B32">
        <f t="shared" si="0"/>
        <v>296</v>
      </c>
      <c r="C32">
        <v>156</v>
      </c>
      <c r="D32">
        <v>28</v>
      </c>
      <c r="E32">
        <v>89</v>
      </c>
      <c r="F32">
        <v>18</v>
      </c>
      <c r="G32">
        <v>5</v>
      </c>
      <c r="H32" s="53">
        <f>Complaints[[#This Row],[World]]/SUM(MowerSales[[#This Row],[World]],TractorSales[[#This Row],[World]])</f>
        <v>2.1643755484059668E-2</v>
      </c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spans="1:20" x14ac:dyDescent="0.2">
      <c r="A33" s="28">
        <v>41122</v>
      </c>
      <c r="B33">
        <f t="shared" si="0"/>
        <v>279</v>
      </c>
      <c r="C33">
        <v>148</v>
      </c>
      <c r="D33">
        <v>26</v>
      </c>
      <c r="E33">
        <v>86</v>
      </c>
      <c r="F33">
        <v>15</v>
      </c>
      <c r="G33">
        <v>4</v>
      </c>
      <c r="H33" s="53">
        <f>Complaints[[#This Row],[World]]/SUM(MowerSales[[#This Row],[World]],TractorSales[[#This Row],[World]])</f>
        <v>2.3094114725602185E-2</v>
      </c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  <row r="34" spans="1:20" x14ac:dyDescent="0.2">
      <c r="A34" s="28">
        <v>41153</v>
      </c>
      <c r="B34">
        <f t="shared" si="0"/>
        <v>266</v>
      </c>
      <c r="C34">
        <v>143</v>
      </c>
      <c r="D34">
        <v>24</v>
      </c>
      <c r="E34">
        <v>82</v>
      </c>
      <c r="F34">
        <v>13</v>
      </c>
      <c r="G34">
        <v>4</v>
      </c>
      <c r="H34" s="53">
        <f>Complaints[[#This Row],[World]]/SUM(MowerSales[[#This Row],[World]],TractorSales[[#This Row],[World]])</f>
        <v>2.4845880814496544E-2</v>
      </c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</row>
    <row r="35" spans="1:20" x14ac:dyDescent="0.2">
      <c r="A35" s="28">
        <v>41183</v>
      </c>
      <c r="B35">
        <f t="shared" si="0"/>
        <v>243</v>
      </c>
      <c r="C35">
        <v>131</v>
      </c>
      <c r="D35">
        <v>21</v>
      </c>
      <c r="E35">
        <v>76</v>
      </c>
      <c r="F35">
        <v>12</v>
      </c>
      <c r="G35">
        <v>3</v>
      </c>
      <c r="H35" s="53">
        <f>Complaints[[#This Row],[World]]/SUM(MowerSales[[#This Row],[World]],TractorSales[[#This Row],[World]])</f>
        <v>2.4956352059155796E-2</v>
      </c>
    </row>
    <row r="36" spans="1:20" x14ac:dyDescent="0.2">
      <c r="A36" s="28">
        <v>41214</v>
      </c>
      <c r="B36">
        <f t="shared" si="0"/>
        <v>232</v>
      </c>
      <c r="C36">
        <v>128</v>
      </c>
      <c r="D36">
        <v>18</v>
      </c>
      <c r="E36">
        <v>73</v>
      </c>
      <c r="F36">
        <v>10</v>
      </c>
      <c r="G36">
        <v>3</v>
      </c>
      <c r="H36" s="53">
        <f>Complaints[[#This Row],[World]]/SUM(MowerSales[[#This Row],[World]],TractorSales[[#This Row],[World]])</f>
        <v>2.5910207728389548E-2</v>
      </c>
    </row>
    <row r="37" spans="1:20" x14ac:dyDescent="0.2">
      <c r="A37" s="28">
        <v>41244</v>
      </c>
      <c r="B37">
        <f t="shared" si="0"/>
        <v>203</v>
      </c>
      <c r="C37">
        <v>107</v>
      </c>
      <c r="D37">
        <v>15</v>
      </c>
      <c r="E37">
        <v>70</v>
      </c>
      <c r="F37">
        <v>7</v>
      </c>
      <c r="G37">
        <v>4</v>
      </c>
      <c r="H37" s="53">
        <f>Complaints[[#This Row],[World]]/SUM(MowerSales[[#This Row],[World]],TractorSales[[#This Row],[World]])</f>
        <v>2.7321668909825035E-2</v>
      </c>
    </row>
    <row r="38" spans="1:20" x14ac:dyDescent="0.2">
      <c r="A38" s="28">
        <v>41275</v>
      </c>
      <c r="B38">
        <f t="shared" si="0"/>
        <v>216</v>
      </c>
      <c r="C38">
        <v>110</v>
      </c>
      <c r="D38">
        <v>19</v>
      </c>
      <c r="E38">
        <v>74</v>
      </c>
      <c r="F38">
        <v>8</v>
      </c>
      <c r="G38">
        <v>5</v>
      </c>
      <c r="H38" s="53">
        <f>Complaints[[#This Row],[World]]/SUM(MowerSales[[#This Row],[World]],TractorSales[[#This Row],[World]])</f>
        <v>2.3396880415944541E-2</v>
      </c>
    </row>
    <row r="39" spans="1:20" x14ac:dyDescent="0.2">
      <c r="A39" s="28">
        <v>41306</v>
      </c>
      <c r="B39">
        <f t="shared" si="0"/>
        <v>239</v>
      </c>
      <c r="C39">
        <v>123</v>
      </c>
      <c r="D39">
        <v>23</v>
      </c>
      <c r="E39">
        <v>79</v>
      </c>
      <c r="F39">
        <v>10</v>
      </c>
      <c r="G39">
        <v>4</v>
      </c>
      <c r="H39" s="53">
        <f>Complaints[[#This Row],[World]]/SUM(MowerSales[[#This Row],[World]],TractorSales[[#This Row],[World]])</f>
        <v>2.032312925170068E-2</v>
      </c>
    </row>
    <row r="40" spans="1:20" x14ac:dyDescent="0.2">
      <c r="A40" s="28">
        <v>41334</v>
      </c>
      <c r="B40">
        <f t="shared" si="0"/>
        <v>266</v>
      </c>
      <c r="C40">
        <v>138</v>
      </c>
      <c r="D40">
        <v>26</v>
      </c>
      <c r="E40">
        <v>83</v>
      </c>
      <c r="F40">
        <v>13</v>
      </c>
      <c r="G40">
        <v>6</v>
      </c>
      <c r="H40" s="53">
        <f>Complaints[[#This Row],[World]]/SUM(MowerSales[[#This Row],[World]],TractorSales[[#This Row],[World]])</f>
        <v>2.0593016954401178E-2</v>
      </c>
    </row>
    <row r="41" spans="1:20" x14ac:dyDescent="0.2">
      <c r="A41" s="28">
        <v>41365</v>
      </c>
      <c r="B41">
        <f t="shared" si="0"/>
        <v>284</v>
      </c>
      <c r="C41">
        <v>150</v>
      </c>
      <c r="D41">
        <v>30</v>
      </c>
      <c r="E41">
        <v>88</v>
      </c>
      <c r="F41">
        <v>11</v>
      </c>
      <c r="G41">
        <v>5</v>
      </c>
      <c r="H41" s="53">
        <f>Complaints[[#This Row],[World]]/SUM(MowerSales[[#This Row],[World]],TractorSales[[#This Row],[World]])</f>
        <v>1.9724961800250036E-2</v>
      </c>
    </row>
    <row r="42" spans="1:20" x14ac:dyDescent="0.2">
      <c r="A42" s="28">
        <v>41395</v>
      </c>
      <c r="B42">
        <f t="shared" si="0"/>
        <v>315</v>
      </c>
      <c r="C42">
        <v>169</v>
      </c>
      <c r="D42">
        <v>33</v>
      </c>
      <c r="E42">
        <v>91</v>
      </c>
      <c r="F42">
        <v>15</v>
      </c>
      <c r="G42">
        <v>7</v>
      </c>
      <c r="H42" s="53">
        <f>Complaints[[#This Row],[World]]/SUM(MowerSales[[#This Row],[World]],TractorSales[[#This Row],[World]])</f>
        <v>2.0737327188940093E-2</v>
      </c>
    </row>
    <row r="43" spans="1:20" x14ac:dyDescent="0.2">
      <c r="A43" s="28">
        <v>41426</v>
      </c>
      <c r="B43">
        <f t="shared" si="0"/>
        <v>340</v>
      </c>
      <c r="C43">
        <v>181</v>
      </c>
      <c r="D43">
        <v>37</v>
      </c>
      <c r="E43">
        <v>95</v>
      </c>
      <c r="F43">
        <v>19</v>
      </c>
      <c r="G43">
        <v>8</v>
      </c>
      <c r="H43" s="53">
        <f>Complaints[[#This Row],[World]]/SUM(MowerSales[[#This Row],[World]],TractorSales[[#This Row],[World]])</f>
        <v>2.1975180972078595E-2</v>
      </c>
    </row>
    <row r="44" spans="1:20" x14ac:dyDescent="0.2">
      <c r="A44" s="28">
        <v>41456</v>
      </c>
      <c r="B44">
        <f t="shared" si="0"/>
        <v>319</v>
      </c>
      <c r="C44">
        <v>169</v>
      </c>
      <c r="D44">
        <v>34</v>
      </c>
      <c r="E44">
        <v>92</v>
      </c>
      <c r="F44">
        <v>17</v>
      </c>
      <c r="G44">
        <v>7</v>
      </c>
      <c r="H44" s="53">
        <f>Complaints[[#This Row],[World]]/SUM(MowerSales[[#This Row],[World]],TractorSales[[#This Row],[World]])</f>
        <v>2.2137404580152672E-2</v>
      </c>
    </row>
    <row r="45" spans="1:20" x14ac:dyDescent="0.2">
      <c r="A45" s="28">
        <v>41487</v>
      </c>
      <c r="B45">
        <f t="shared" si="0"/>
        <v>304</v>
      </c>
      <c r="C45">
        <v>160</v>
      </c>
      <c r="D45">
        <v>32</v>
      </c>
      <c r="E45">
        <v>90</v>
      </c>
      <c r="F45">
        <v>15</v>
      </c>
      <c r="G45">
        <v>7</v>
      </c>
      <c r="H45" s="53">
        <f>Complaints[[#This Row],[World]]/SUM(MowerSales[[#This Row],[World]],TractorSales[[#This Row],[World]])</f>
        <v>2.3222060957910014E-2</v>
      </c>
    </row>
    <row r="46" spans="1:20" x14ac:dyDescent="0.2">
      <c r="A46" s="28">
        <v>41518</v>
      </c>
      <c r="B46">
        <f t="shared" si="0"/>
        <v>277</v>
      </c>
      <c r="C46">
        <v>141</v>
      </c>
      <c r="D46">
        <v>29</v>
      </c>
      <c r="E46">
        <v>87</v>
      </c>
      <c r="F46">
        <v>14</v>
      </c>
      <c r="G46">
        <v>6</v>
      </c>
      <c r="H46" s="53">
        <f>Complaints[[#This Row],[World]]/SUM(MowerSales[[#This Row],[World]],TractorSales[[#This Row],[World]])</f>
        <v>2.3922618533552119E-2</v>
      </c>
    </row>
    <row r="47" spans="1:20" x14ac:dyDescent="0.2">
      <c r="A47" s="28">
        <v>41548</v>
      </c>
      <c r="B47">
        <f t="shared" si="0"/>
        <v>250</v>
      </c>
      <c r="C47">
        <v>123</v>
      </c>
      <c r="D47">
        <v>26</v>
      </c>
      <c r="E47">
        <v>83</v>
      </c>
      <c r="F47">
        <v>12</v>
      </c>
      <c r="G47">
        <v>6</v>
      </c>
      <c r="H47" s="53">
        <f>Complaints[[#This Row],[World]]/SUM(MowerSales[[#This Row],[World]],TractorSales[[#This Row],[World]])</f>
        <v>2.3536057239691207E-2</v>
      </c>
    </row>
    <row r="48" spans="1:20" x14ac:dyDescent="0.2">
      <c r="A48" s="28">
        <v>41579</v>
      </c>
      <c r="B48">
        <f t="shared" si="0"/>
        <v>228</v>
      </c>
      <c r="C48">
        <v>112</v>
      </c>
      <c r="D48">
        <v>24</v>
      </c>
      <c r="E48">
        <v>77</v>
      </c>
      <c r="F48">
        <v>10</v>
      </c>
      <c r="G48">
        <v>5</v>
      </c>
      <c r="H48" s="53">
        <f>Complaints[[#This Row],[World]]/SUM(MowerSales[[#This Row],[World]],TractorSales[[#This Row],[World]])</f>
        <v>2.3856858846918488E-2</v>
      </c>
    </row>
    <row r="49" spans="1:8" x14ac:dyDescent="0.2">
      <c r="A49" s="28">
        <v>41609</v>
      </c>
      <c r="B49">
        <f t="shared" si="0"/>
        <v>213</v>
      </c>
      <c r="C49">
        <v>105</v>
      </c>
      <c r="D49">
        <v>23</v>
      </c>
      <c r="E49">
        <v>74</v>
      </c>
      <c r="F49">
        <v>7</v>
      </c>
      <c r="G49">
        <v>4</v>
      </c>
      <c r="H49" s="53">
        <f>Complaints[[#This Row],[World]]/SUM(MowerSales[[#This Row],[World]],TractorSales[[#This Row],[World]])</f>
        <v>2.3465902831331938E-2</v>
      </c>
    </row>
    <row r="50" spans="1:8" x14ac:dyDescent="0.2">
      <c r="A50" s="28">
        <v>41640</v>
      </c>
      <c r="B50">
        <f t="shared" si="0"/>
        <v>240</v>
      </c>
      <c r="C50">
        <v>121</v>
      </c>
      <c r="D50">
        <v>26</v>
      </c>
      <c r="E50">
        <v>80</v>
      </c>
      <c r="F50">
        <v>8</v>
      </c>
      <c r="G50">
        <v>5</v>
      </c>
      <c r="H50" s="53">
        <f>Complaints[[#This Row],[World]]/SUM(MowerSales[[#This Row],[World]],TractorSales[[#This Row],[World]])</f>
        <v>2.4239975760024238E-2</v>
      </c>
    </row>
    <row r="51" spans="1:8" x14ac:dyDescent="0.2">
      <c r="A51" s="28">
        <v>41671</v>
      </c>
      <c r="B51">
        <f t="shared" si="0"/>
        <v>251</v>
      </c>
      <c r="C51">
        <v>126</v>
      </c>
      <c r="D51">
        <v>28</v>
      </c>
      <c r="E51">
        <v>82</v>
      </c>
      <c r="F51">
        <v>10</v>
      </c>
      <c r="G51">
        <v>5</v>
      </c>
      <c r="H51" s="53">
        <f>Complaints[[#This Row],[World]]/SUM(MowerSales[[#This Row],[World]],TractorSales[[#This Row],[World]])</f>
        <v>2.0146079139577815E-2</v>
      </c>
    </row>
    <row r="52" spans="1:8" x14ac:dyDescent="0.2">
      <c r="A52" s="28">
        <v>41699</v>
      </c>
      <c r="B52">
        <f t="shared" si="0"/>
        <v>281</v>
      </c>
      <c r="C52">
        <v>148</v>
      </c>
      <c r="D52">
        <v>31</v>
      </c>
      <c r="E52">
        <v>85</v>
      </c>
      <c r="F52">
        <v>12</v>
      </c>
      <c r="G52">
        <v>5</v>
      </c>
      <c r="H52" s="53">
        <f>Complaints[[#This Row],[World]]/SUM(MowerSales[[#This Row],[World]],TractorSales[[#This Row],[World]])</f>
        <v>2.0702865983938702E-2</v>
      </c>
    </row>
    <row r="53" spans="1:8" x14ac:dyDescent="0.2">
      <c r="A53" s="28">
        <v>41730</v>
      </c>
      <c r="B53">
        <f t="shared" si="0"/>
        <v>298</v>
      </c>
      <c r="C53">
        <v>155</v>
      </c>
      <c r="D53">
        <v>35</v>
      </c>
      <c r="E53">
        <v>89</v>
      </c>
      <c r="F53">
        <v>13</v>
      </c>
      <c r="G53">
        <v>6</v>
      </c>
      <c r="H53" s="53">
        <f>Complaints[[#This Row],[World]]/SUM(MowerSales[[#This Row],[World]],TractorSales[[#This Row],[World]])</f>
        <v>2.011474856564293E-2</v>
      </c>
    </row>
    <row r="54" spans="1:8" x14ac:dyDescent="0.2">
      <c r="A54" s="28">
        <v>41760</v>
      </c>
      <c r="B54">
        <f t="shared" si="0"/>
        <v>322</v>
      </c>
      <c r="C54">
        <v>168</v>
      </c>
      <c r="D54">
        <v>39</v>
      </c>
      <c r="E54">
        <v>95</v>
      </c>
      <c r="F54">
        <v>12</v>
      </c>
      <c r="G54">
        <v>8</v>
      </c>
      <c r="H54" s="53">
        <f>Complaints[[#This Row],[World]]/SUM(MowerSales[[#This Row],[World]],TractorSales[[#This Row],[World]])</f>
        <v>2.0682124735050419E-2</v>
      </c>
    </row>
    <row r="55" spans="1:8" x14ac:dyDescent="0.2">
      <c r="A55" s="28">
        <v>41791</v>
      </c>
      <c r="B55">
        <f t="shared" si="0"/>
        <v>350</v>
      </c>
      <c r="C55">
        <v>183</v>
      </c>
      <c r="D55">
        <v>43</v>
      </c>
      <c r="E55">
        <v>98</v>
      </c>
      <c r="F55">
        <v>15</v>
      </c>
      <c r="G55">
        <v>11</v>
      </c>
      <c r="H55" s="53">
        <f>Complaints[[#This Row],[World]]/SUM(MowerSales[[#This Row],[World]],TractorSales[[#This Row],[World]])</f>
        <v>2.1137818577122842E-2</v>
      </c>
    </row>
    <row r="56" spans="1:8" x14ac:dyDescent="0.2">
      <c r="A56" s="28">
        <v>41821</v>
      </c>
      <c r="B56">
        <f t="shared" si="0"/>
        <v>330</v>
      </c>
      <c r="C56">
        <v>170</v>
      </c>
      <c r="D56">
        <v>41</v>
      </c>
      <c r="E56">
        <v>95</v>
      </c>
      <c r="F56">
        <v>14</v>
      </c>
      <c r="G56">
        <v>10</v>
      </c>
      <c r="H56" s="53">
        <f>Complaints[[#This Row],[World]]/SUM(MowerSales[[#This Row],[World]],TractorSales[[#This Row],[World]])</f>
        <v>2.072603944228112E-2</v>
      </c>
    </row>
    <row r="57" spans="1:8" x14ac:dyDescent="0.2">
      <c r="A57" s="28">
        <v>41852</v>
      </c>
      <c r="B57">
        <f t="shared" si="0"/>
        <v>311</v>
      </c>
      <c r="C57">
        <v>158</v>
      </c>
      <c r="D57">
        <v>38</v>
      </c>
      <c r="E57">
        <v>93</v>
      </c>
      <c r="F57">
        <v>13</v>
      </c>
      <c r="G57">
        <v>9</v>
      </c>
      <c r="H57" s="53">
        <f>Complaints[[#This Row],[World]]/SUM(MowerSales[[#This Row],[World]],TractorSales[[#This Row],[World]])</f>
        <v>2.2601744186046512E-2</v>
      </c>
    </row>
    <row r="58" spans="1:8" x14ac:dyDescent="0.2">
      <c r="A58" s="28">
        <v>41883</v>
      </c>
      <c r="B58">
        <f t="shared" si="0"/>
        <v>289</v>
      </c>
      <c r="C58">
        <v>149</v>
      </c>
      <c r="D58">
        <v>33</v>
      </c>
      <c r="E58">
        <v>89</v>
      </c>
      <c r="F58">
        <v>11</v>
      </c>
      <c r="G58">
        <v>7</v>
      </c>
      <c r="H58" s="53">
        <f>Complaints[[#This Row],[World]]/SUM(MowerSales[[#This Row],[World]],TractorSales[[#This Row],[World]])</f>
        <v>2.2752322468902537E-2</v>
      </c>
    </row>
    <row r="59" spans="1:8" x14ac:dyDescent="0.2">
      <c r="A59" s="28">
        <v>41913</v>
      </c>
      <c r="B59">
        <f t="shared" si="0"/>
        <v>265</v>
      </c>
      <c r="C59">
        <v>136</v>
      </c>
      <c r="D59">
        <v>30</v>
      </c>
      <c r="E59">
        <v>85</v>
      </c>
      <c r="F59">
        <v>8</v>
      </c>
      <c r="G59">
        <v>6</v>
      </c>
      <c r="H59" s="53">
        <f>Complaints[[#This Row],[World]]/SUM(MowerSales[[#This Row],[World]],TractorSales[[#This Row],[World]])</f>
        <v>2.3366546159950621E-2</v>
      </c>
    </row>
    <row r="60" spans="1:8" x14ac:dyDescent="0.2">
      <c r="A60" s="28">
        <v>41944</v>
      </c>
      <c r="B60">
        <f t="shared" si="0"/>
        <v>239</v>
      </c>
      <c r="C60">
        <v>121</v>
      </c>
      <c r="D60">
        <v>26</v>
      </c>
      <c r="E60">
        <v>80</v>
      </c>
      <c r="F60">
        <v>7</v>
      </c>
      <c r="G60">
        <v>5</v>
      </c>
      <c r="H60" s="53">
        <f>Complaints[[#This Row],[World]]/SUM(MowerSales[[#This Row],[World]],TractorSales[[#This Row],[World]])</f>
        <v>2.3273931249391373E-2</v>
      </c>
    </row>
    <row r="61" spans="1:8" x14ac:dyDescent="0.2">
      <c r="A61" s="28">
        <v>41974</v>
      </c>
      <c r="B61">
        <f t="shared" si="0"/>
        <v>219</v>
      </c>
      <c r="C61">
        <v>108</v>
      </c>
      <c r="D61">
        <v>23</v>
      </c>
      <c r="E61">
        <v>76</v>
      </c>
      <c r="F61">
        <v>7</v>
      </c>
      <c r="G61">
        <v>5</v>
      </c>
      <c r="H61" s="53">
        <f>Complaints[[#This Row],[World]]/SUM(MowerSales[[#This Row],[World]],TractorSales[[#This Row],[World]])</f>
        <v>2.3377455166524338E-2</v>
      </c>
    </row>
    <row r="63" spans="1:8" x14ac:dyDescent="0.2">
      <c r="A63" s="28" t="s">
        <v>10</v>
      </c>
      <c r="B63" s="3">
        <f>AVERAGE(Complaints[[#All],[World]])</f>
        <v>248.91666666666666</v>
      </c>
      <c r="C63" s="3">
        <f>AVERAGE(Complaints[[#All],[NA]])</f>
        <v>136</v>
      </c>
      <c r="D63" s="3">
        <f>AVERAGE(Complaints[[#All],[SA]])</f>
        <v>23.083333333333332</v>
      </c>
      <c r="E63" s="3">
        <f>AVERAGE(Complaints[[#All],[Eur]])</f>
        <v>77.400000000000006</v>
      </c>
      <c r="F63" s="3">
        <f>AVERAGE(Complaints[[#All],[Pac]])</f>
        <v>9.1333333333333329</v>
      </c>
      <c r="G63" s="3">
        <f>AVERAGE(Complaints[[#All],[China]])</f>
        <v>5.5</v>
      </c>
      <c r="H63" s="53">
        <f>AVERAGE(Complaints[Complaints of Sales])</f>
        <v>2.1312003866432096E-2</v>
      </c>
    </row>
    <row r="64" spans="1:8" x14ac:dyDescent="0.2">
      <c r="A64" s="28" t="s">
        <v>27</v>
      </c>
      <c r="B64" s="3">
        <f>MEDIAN(Complaints[[#All],[World]])</f>
        <v>244</v>
      </c>
      <c r="C64" s="3">
        <f>MEDIAN(Complaints[[#All],[NA]])</f>
        <v>136.5</v>
      </c>
      <c r="D64" s="3">
        <f>MEDIAN(Complaints[[#All],[SA]])</f>
        <v>23</v>
      </c>
      <c r="E64" s="3">
        <f>MEDIAN(Complaints[[#All],[Eur]])</f>
        <v>79</v>
      </c>
      <c r="F64" s="3">
        <f>MEDIAN(Complaints[[#All],[Pac]])</f>
        <v>9</v>
      </c>
      <c r="G64" s="3">
        <f>MEDIAN(Complaints[[#All],[China]])</f>
        <v>5</v>
      </c>
      <c r="H64" s="53">
        <f>MEDIAN(Complaints[Complaints of Sales])</f>
        <v>2.0816076985801412E-2</v>
      </c>
    </row>
    <row r="65" spans="1:8" x14ac:dyDescent="0.2">
      <c r="A65" s="28" t="s">
        <v>28</v>
      </c>
      <c r="B65" s="3">
        <f>_xlfn.MODE.SNGL(Complaints[[#All],[World]])</f>
        <v>232</v>
      </c>
      <c r="C65" s="3">
        <f>_xlfn.MODE.SNGL(Complaints[[#All],[NA]])</f>
        <v>128</v>
      </c>
      <c r="D65" s="3">
        <f>_xlfn.MODE.SNGL(Complaints[[#All],[SA]])</f>
        <v>26</v>
      </c>
      <c r="E65" s="3">
        <f>_xlfn.MODE.SNGL(Complaints[[#All],[Eur]])</f>
        <v>73</v>
      </c>
      <c r="F65" s="3">
        <f>_xlfn.MODE.SNGL(Complaints[[#All],[Pac]])</f>
        <v>7</v>
      </c>
      <c r="G65" s="3">
        <f>_xlfn.MODE.SNGL(Complaints[[#All],[China]])</f>
        <v>5</v>
      </c>
      <c r="H65" s="53" t="e">
        <f>_xlfn.MODE.SNGL(Complaints[Complaints of Sales])</f>
        <v>#N/A</v>
      </c>
    </row>
    <row r="66" spans="1:8" x14ac:dyDescent="0.2">
      <c r="A66" s="28" t="s">
        <v>29</v>
      </c>
      <c r="B66" s="3">
        <f>_xlfn.STDEV.P(Complaints[[#All],[World]])</f>
        <v>46.191735071210402</v>
      </c>
      <c r="C66" s="3">
        <f>_xlfn.STDEV.P(Complaints[[#All],[NA]])</f>
        <v>23.548531447488042</v>
      </c>
      <c r="D66" s="3">
        <f>_xlfn.STDEV.P(Complaints[[#All],[SA]])</f>
        <v>8.2770599987086122</v>
      </c>
      <c r="E66" s="3">
        <f>_xlfn.STDEV.P(Complaints[[#All],[Eur]])</f>
        <v>11.306635220082056</v>
      </c>
      <c r="F66" s="3">
        <f>_xlfn.STDEV.P(Complaints[[#All],[Pac]])</f>
        <v>4.4251804734069573</v>
      </c>
      <c r="G66" s="3">
        <f>_xlfn.STDEV.P(Complaints[[#All],[China]])</f>
        <v>1.9649710204252659</v>
      </c>
      <c r="H66" s="53">
        <f>_xlfn.STDEV.P(Complaints[Complaints of Sales])</f>
        <v>2.26871607782158E-3</v>
      </c>
    </row>
  </sheetData>
  <phoneticPr fontId="0" type="noConversion"/>
  <pageMargins left="0.75" right="0.75" top="1" bottom="1" header="0.5" footer="0.5"/>
  <pageSetup scale="79" orientation="portrait" horizontalDpi="4294967292" verticalDpi="4294967292" r:id="rId1"/>
  <headerFooter alignWithMargins="0"/>
  <drawing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5D51-4B80-4535-8E4F-52329761C4E7}">
  <dimension ref="A1:N61"/>
  <sheetViews>
    <sheetView workbookViewId="0">
      <selection activeCell="P3" sqref="P3"/>
    </sheetView>
  </sheetViews>
  <sheetFormatPr defaultRowHeight="12.75" x14ac:dyDescent="0.2"/>
  <cols>
    <col min="1" max="1" width="12.85546875" style="55" customWidth="1"/>
    <col min="2" max="4" width="12.85546875" customWidth="1"/>
    <col min="5" max="6" width="12.85546875" style="53" customWidth="1"/>
    <col min="7" max="7" width="7.7109375" style="53" customWidth="1"/>
    <col min="8" max="8" width="18.7109375" customWidth="1"/>
    <col min="9" max="9" width="11.5703125" customWidth="1"/>
    <col min="10" max="11" width="10.42578125" customWidth="1"/>
    <col min="12" max="13" width="13.42578125" customWidth="1"/>
  </cols>
  <sheetData>
    <row r="1" spans="1:13" ht="27" customHeight="1" thickBot="1" x14ac:dyDescent="0.25">
      <c r="A1" s="56" t="str">
        <f>'Complaints'!A1</f>
        <v>Month</v>
      </c>
      <c r="B1" s="57" t="s">
        <v>73</v>
      </c>
      <c r="C1" s="57" t="s">
        <v>74</v>
      </c>
      <c r="D1" s="57" t="s">
        <v>75</v>
      </c>
      <c r="E1" s="58" t="s">
        <v>78</v>
      </c>
      <c r="F1" s="58" t="s">
        <v>79</v>
      </c>
      <c r="G1" s="58"/>
      <c r="H1" s="31"/>
      <c r="I1" s="31"/>
      <c r="J1" s="31"/>
      <c r="K1" s="31"/>
      <c r="L1" s="31"/>
    </row>
    <row r="2" spans="1:13" x14ac:dyDescent="0.2">
      <c r="A2" s="55">
        <f>'Complaints'!A2</f>
        <v>40179</v>
      </c>
      <c r="B2">
        <f>'Complaints'!B2</f>
        <v>169</v>
      </c>
      <c r="C2">
        <f>'Mower Unit Sales'!G2</f>
        <v>7020</v>
      </c>
      <c r="D2">
        <f>'Tractor Unit Sales'!G2</f>
        <v>1592</v>
      </c>
      <c r="E2" s="53">
        <f>B2/C2</f>
        <v>2.4074074074074074E-2</v>
      </c>
      <c r="F2" s="53">
        <f>B2/D2</f>
        <v>0.10615577889447236</v>
      </c>
      <c r="H2" s="15"/>
      <c r="I2" s="15" t="s">
        <v>73</v>
      </c>
      <c r="J2" s="15" t="s">
        <v>74</v>
      </c>
      <c r="K2" s="15" t="s">
        <v>75</v>
      </c>
      <c r="L2" s="32"/>
    </row>
    <row r="3" spans="1:13" x14ac:dyDescent="0.2">
      <c r="A3" s="55">
        <f>'Complaints'!A3</f>
        <v>40210</v>
      </c>
      <c r="B3">
        <f>'Complaints'!B3</f>
        <v>187</v>
      </c>
      <c r="C3">
        <f>'Mower Unit Sales'!G3</f>
        <v>9280</v>
      </c>
      <c r="D3">
        <f>'Tractor Unit Sales'!G3</f>
        <v>1711</v>
      </c>
      <c r="E3" s="53">
        <f t="shared" ref="E3:E61" si="0">B3/C3</f>
        <v>2.0150862068965516E-2</v>
      </c>
      <c r="F3" s="53">
        <f t="shared" ref="F3:F61" si="1">B3/D3</f>
        <v>0.10929281122150789</v>
      </c>
      <c r="H3" s="13" t="s">
        <v>73</v>
      </c>
      <c r="I3" s="47">
        <v>1</v>
      </c>
      <c r="J3" s="47"/>
      <c r="K3" s="47"/>
      <c r="L3" s="13"/>
    </row>
    <row r="4" spans="1:13" x14ac:dyDescent="0.2">
      <c r="A4" s="55">
        <f>'Complaints'!A4</f>
        <v>40238</v>
      </c>
      <c r="B4">
        <f>'Complaints'!B4</f>
        <v>210</v>
      </c>
      <c r="C4">
        <f>'Mower Unit Sales'!G4</f>
        <v>9780</v>
      </c>
      <c r="D4">
        <f>'Tractor Unit Sales'!G4</f>
        <v>1810</v>
      </c>
      <c r="E4" s="53">
        <f t="shared" si="0"/>
        <v>2.1472392638036811E-2</v>
      </c>
      <c r="F4" s="53">
        <f t="shared" si="1"/>
        <v>0.11602209944751381</v>
      </c>
      <c r="H4" s="13" t="s">
        <v>74</v>
      </c>
      <c r="I4" s="47">
        <v>0.71938537929289559</v>
      </c>
      <c r="J4" s="47">
        <v>1</v>
      </c>
      <c r="K4" s="47"/>
      <c r="L4" s="13"/>
    </row>
    <row r="5" spans="1:13" ht="13.5" thickBot="1" x14ac:dyDescent="0.25">
      <c r="A5" s="55">
        <f>'Complaints'!A5</f>
        <v>40269</v>
      </c>
      <c r="B5">
        <f>'Complaints'!B5</f>
        <v>226</v>
      </c>
      <c r="C5">
        <f>'Mower Unit Sales'!G5</f>
        <v>11100</v>
      </c>
      <c r="D5">
        <f>'Tractor Unit Sales'!G5</f>
        <v>1867</v>
      </c>
      <c r="E5" s="53">
        <f t="shared" si="0"/>
        <v>2.0360360360360361E-2</v>
      </c>
      <c r="F5" s="53">
        <f t="shared" si="1"/>
        <v>0.12104981253347616</v>
      </c>
      <c r="H5" s="14" t="s">
        <v>75</v>
      </c>
      <c r="I5" s="48">
        <v>0.74799397184912464</v>
      </c>
      <c r="J5" s="48">
        <v>0.23533814782705609</v>
      </c>
      <c r="K5" s="48">
        <v>1</v>
      </c>
      <c r="L5" s="13"/>
    </row>
    <row r="6" spans="1:13" ht="13.5" thickBot="1" x14ac:dyDescent="0.25">
      <c r="A6" s="55">
        <f>'Complaints'!A6</f>
        <v>40299</v>
      </c>
      <c r="B6">
        <f>'Complaints'!B6</f>
        <v>232</v>
      </c>
      <c r="C6">
        <f>'Mower Unit Sales'!G6</f>
        <v>11930</v>
      </c>
      <c r="D6">
        <f>'Tractor Unit Sales'!G6</f>
        <v>1779</v>
      </c>
      <c r="E6" s="53">
        <f t="shared" si="0"/>
        <v>1.9446772841575859E-2</v>
      </c>
      <c r="F6" s="53">
        <f t="shared" si="1"/>
        <v>0.13041034288926362</v>
      </c>
      <c r="H6" s="13"/>
      <c r="I6" s="13"/>
      <c r="J6" s="13"/>
      <c r="K6" s="13"/>
      <c r="L6" s="13"/>
    </row>
    <row r="7" spans="1:13" x14ac:dyDescent="0.2">
      <c r="A7" s="55">
        <f>'Complaints'!A7</f>
        <v>40330</v>
      </c>
      <c r="B7">
        <f>'Complaints'!B7</f>
        <v>261</v>
      </c>
      <c r="C7">
        <f>'Mower Unit Sales'!G7</f>
        <v>12240</v>
      </c>
      <c r="D7">
        <f>'Tractor Unit Sales'!G7</f>
        <v>1740</v>
      </c>
      <c r="E7" s="53">
        <f t="shared" si="0"/>
        <v>2.1323529411764706E-2</v>
      </c>
      <c r="F7" s="53">
        <f t="shared" si="1"/>
        <v>0.15</v>
      </c>
      <c r="H7" s="15"/>
      <c r="I7" s="15" t="s">
        <v>73</v>
      </c>
      <c r="J7" s="15" t="s">
        <v>74</v>
      </c>
      <c r="K7" s="15" t="s">
        <v>75</v>
      </c>
      <c r="L7" s="15" t="s">
        <v>76</v>
      </c>
      <c r="M7" s="15" t="s">
        <v>77</v>
      </c>
    </row>
    <row r="8" spans="1:13" x14ac:dyDescent="0.2">
      <c r="A8" s="55">
        <f>'Complaints'!A8</f>
        <v>40360</v>
      </c>
      <c r="B8">
        <f>'Complaints'!B8</f>
        <v>245</v>
      </c>
      <c r="C8">
        <f>'Mower Unit Sales'!G8</f>
        <v>10740</v>
      </c>
      <c r="D8">
        <f>'Tractor Unit Sales'!G8</f>
        <v>1826</v>
      </c>
      <c r="E8" s="53">
        <f t="shared" si="0"/>
        <v>2.2811918063314712E-2</v>
      </c>
      <c r="F8" s="53">
        <f t="shared" si="1"/>
        <v>0.13417305585980285</v>
      </c>
      <c r="H8" s="13" t="s">
        <v>73</v>
      </c>
      <c r="I8" s="47">
        <v>1</v>
      </c>
      <c r="J8" s="47"/>
      <c r="K8" s="47"/>
      <c r="L8" s="47"/>
      <c r="M8" s="47"/>
    </row>
    <row r="9" spans="1:13" x14ac:dyDescent="0.2">
      <c r="A9" s="55">
        <f>'Complaints'!A9</f>
        <v>40391</v>
      </c>
      <c r="B9">
        <f>'Complaints'!B9</f>
        <v>223</v>
      </c>
      <c r="C9">
        <f>'Mower Unit Sales'!G9</f>
        <v>10080</v>
      </c>
      <c r="D9">
        <f>'Tractor Unit Sales'!G9</f>
        <v>1695</v>
      </c>
      <c r="E9" s="53">
        <f t="shared" si="0"/>
        <v>2.2123015873015874E-2</v>
      </c>
      <c r="F9" s="53">
        <f t="shared" si="1"/>
        <v>0.13156342182890857</v>
      </c>
      <c r="H9" s="13" t="s">
        <v>74</v>
      </c>
      <c r="I9" s="47">
        <v>0.71938537929289559</v>
      </c>
      <c r="J9" s="47">
        <v>1</v>
      </c>
      <c r="K9" s="47"/>
      <c r="L9" s="47"/>
      <c r="M9" s="47"/>
    </row>
    <row r="10" spans="1:13" x14ac:dyDescent="0.2">
      <c r="A10" s="55">
        <f>'Complaints'!A10</f>
        <v>40422</v>
      </c>
      <c r="B10">
        <f>'Complaints'!B10</f>
        <v>195</v>
      </c>
      <c r="C10">
        <f>'Mower Unit Sales'!G10</f>
        <v>8430</v>
      </c>
      <c r="D10">
        <f>'Tractor Unit Sales'!G10</f>
        <v>1681</v>
      </c>
      <c r="E10" s="53">
        <f t="shared" si="0"/>
        <v>2.3131672597864767E-2</v>
      </c>
      <c r="F10" s="53">
        <f t="shared" si="1"/>
        <v>0.11600237953599048</v>
      </c>
      <c r="H10" s="13" t="s">
        <v>75</v>
      </c>
      <c r="I10" s="47">
        <v>0.74799397184912464</v>
      </c>
      <c r="J10" s="47">
        <v>0.23533814782705609</v>
      </c>
      <c r="K10" s="47">
        <v>1</v>
      </c>
      <c r="L10" s="47"/>
      <c r="M10" s="47"/>
    </row>
    <row r="11" spans="1:13" x14ac:dyDescent="0.2">
      <c r="A11" s="55">
        <f>'Complaints'!A11</f>
        <v>40452</v>
      </c>
      <c r="B11">
        <f>'Complaints'!B11</f>
        <v>174</v>
      </c>
      <c r="C11">
        <f>'Mower Unit Sales'!G11</f>
        <v>7650</v>
      </c>
      <c r="D11">
        <f>'Tractor Unit Sales'!G11</f>
        <v>1663</v>
      </c>
      <c r="E11" s="53">
        <f t="shared" si="0"/>
        <v>2.2745098039215685E-2</v>
      </c>
      <c r="F11" s="53">
        <f t="shared" si="1"/>
        <v>0.10463018641010223</v>
      </c>
      <c r="H11" s="13" t="s">
        <v>76</v>
      </c>
      <c r="I11" s="47">
        <v>8.609687575601703E-2</v>
      </c>
      <c r="J11" s="47">
        <v>-0.61422577012032353</v>
      </c>
      <c r="K11" s="47">
        <v>0.48454060077879324</v>
      </c>
      <c r="L11" s="47">
        <v>1</v>
      </c>
      <c r="M11" s="47"/>
    </row>
    <row r="12" spans="1:13" ht="13.5" thickBot="1" x14ac:dyDescent="0.25">
      <c r="A12" s="55">
        <f>'Complaints'!A12</f>
        <v>40483</v>
      </c>
      <c r="B12">
        <f>'Complaints'!B12</f>
        <v>154</v>
      </c>
      <c r="C12">
        <f>'Mower Unit Sales'!G12</f>
        <v>6650</v>
      </c>
      <c r="D12">
        <f>'Tractor Unit Sales'!G12</f>
        <v>1825</v>
      </c>
      <c r="E12" s="53">
        <f t="shared" si="0"/>
        <v>2.3157894736842106E-2</v>
      </c>
      <c r="F12" s="53">
        <f t="shared" si="1"/>
        <v>8.438356164383562E-2</v>
      </c>
      <c r="H12" s="14" t="s">
        <v>77</v>
      </c>
      <c r="I12" s="48">
        <v>-0.17185845825093532</v>
      </c>
      <c r="J12" s="48">
        <v>0.35280784428991752</v>
      </c>
      <c r="K12" s="48">
        <v>-0.76030684255144954</v>
      </c>
      <c r="L12" s="48">
        <v>-0.65964823219127677</v>
      </c>
      <c r="M12" s="48">
        <v>1</v>
      </c>
    </row>
    <row r="13" spans="1:13" x14ac:dyDescent="0.2">
      <c r="A13" s="55">
        <f>'Complaints'!A13</f>
        <v>40513</v>
      </c>
      <c r="B13">
        <f>'Complaints'!B13</f>
        <v>163</v>
      </c>
      <c r="C13">
        <f>'Mower Unit Sales'!G13</f>
        <v>5620</v>
      </c>
      <c r="D13">
        <f>'Tractor Unit Sales'!G13</f>
        <v>1720</v>
      </c>
      <c r="E13" s="53">
        <f t="shared" si="0"/>
        <v>2.9003558718861209E-2</v>
      </c>
      <c r="F13" s="53">
        <f t="shared" si="1"/>
        <v>9.476744186046511E-2</v>
      </c>
    </row>
    <row r="14" spans="1:13" x14ac:dyDescent="0.2">
      <c r="A14" s="55">
        <f>'Complaints'!A14</f>
        <v>40544</v>
      </c>
      <c r="B14">
        <f>'Complaints'!B14</f>
        <v>195</v>
      </c>
      <c r="C14">
        <f>'Mower Unit Sales'!G14</f>
        <v>7020</v>
      </c>
      <c r="D14">
        <f>'Tractor Unit Sales'!G14</f>
        <v>1761</v>
      </c>
      <c r="E14" s="53">
        <f t="shared" si="0"/>
        <v>2.7777777777777776E-2</v>
      </c>
      <c r="F14" s="53">
        <f t="shared" si="1"/>
        <v>0.11073253833049404</v>
      </c>
      <c r="H14" t="s">
        <v>43</v>
      </c>
    </row>
    <row r="15" spans="1:13" x14ac:dyDescent="0.2">
      <c r="A15" s="55">
        <f>'Complaints'!A15</f>
        <v>40575</v>
      </c>
      <c r="B15">
        <f>'Complaints'!B15</f>
        <v>221</v>
      </c>
      <c r="C15">
        <f>'Mower Unit Sales'!G15</f>
        <v>9030</v>
      </c>
      <c r="D15">
        <f>'Tractor Unit Sales'!G15</f>
        <v>2035</v>
      </c>
      <c r="E15" s="53">
        <f t="shared" si="0"/>
        <v>2.4473975636766336E-2</v>
      </c>
      <c r="F15" s="53">
        <f t="shared" si="1"/>
        <v>0.10859950859950859</v>
      </c>
    </row>
    <row r="16" spans="1:13" ht="13.5" thickBot="1" x14ac:dyDescent="0.25">
      <c r="A16" s="55">
        <f>'Complaints'!A16</f>
        <v>40603</v>
      </c>
      <c r="B16">
        <f>'Complaints'!B16</f>
        <v>240</v>
      </c>
      <c r="C16">
        <f>'Mower Unit Sales'!G16</f>
        <v>10050</v>
      </c>
      <c r="D16">
        <f>'Tractor Unit Sales'!G16</f>
        <v>2142</v>
      </c>
      <c r="E16" s="53">
        <f t="shared" si="0"/>
        <v>2.3880597014925373E-2</v>
      </c>
      <c r="F16" s="53">
        <f t="shared" si="1"/>
        <v>0.11204481792717087</v>
      </c>
      <c r="H16" t="s">
        <v>45</v>
      </c>
    </row>
    <row r="17" spans="1:14" x14ac:dyDescent="0.2">
      <c r="A17" s="55">
        <f>'Complaints'!A17</f>
        <v>40634</v>
      </c>
      <c r="B17">
        <f>'Complaints'!B17</f>
        <v>264</v>
      </c>
      <c r="C17">
        <f>'Mower Unit Sales'!G17</f>
        <v>10890</v>
      </c>
      <c r="D17">
        <f>'Tractor Unit Sales'!G17</f>
        <v>2340</v>
      </c>
      <c r="E17" s="53">
        <f t="shared" si="0"/>
        <v>2.4242424242424242E-2</v>
      </c>
      <c r="F17" s="53">
        <f t="shared" si="1"/>
        <v>0.11282051282051282</v>
      </c>
      <c r="H17" s="15" t="s">
        <v>46</v>
      </c>
      <c r="I17" s="15" t="s">
        <v>47</v>
      </c>
      <c r="J17" s="15" t="s">
        <v>48</v>
      </c>
      <c r="K17" s="15" t="s">
        <v>49</v>
      </c>
      <c r="L17" s="15" t="s">
        <v>50</v>
      </c>
    </row>
    <row r="18" spans="1:14" x14ac:dyDescent="0.2">
      <c r="A18" s="55">
        <f>'Complaints'!A18</f>
        <v>40664</v>
      </c>
      <c r="B18">
        <f>'Complaints'!B18</f>
        <v>283</v>
      </c>
      <c r="C18">
        <f>'Mower Unit Sales'!G18</f>
        <v>11420</v>
      </c>
      <c r="D18">
        <f>'Tractor Unit Sales'!G18</f>
        <v>2280</v>
      </c>
      <c r="E18" s="53">
        <f t="shared" si="0"/>
        <v>2.4781085814360771E-2</v>
      </c>
      <c r="F18" s="53">
        <f t="shared" si="1"/>
        <v>0.12412280701754386</v>
      </c>
      <c r="H18" s="13" t="s">
        <v>73</v>
      </c>
      <c r="I18" s="13">
        <v>60</v>
      </c>
      <c r="J18" s="13">
        <v>14935</v>
      </c>
      <c r="K18" s="13">
        <v>248.91666666666666</v>
      </c>
      <c r="L18" s="13">
        <v>2169.8403954802288</v>
      </c>
    </row>
    <row r="19" spans="1:14" x14ac:dyDescent="0.2">
      <c r="A19" s="55">
        <f>'Complaints'!A19</f>
        <v>40695</v>
      </c>
      <c r="B19">
        <f>'Complaints'!B19</f>
        <v>296</v>
      </c>
      <c r="C19">
        <f>'Mower Unit Sales'!G19</f>
        <v>12270</v>
      </c>
      <c r="D19">
        <f>'Tractor Unit Sales'!G19</f>
        <v>2271</v>
      </c>
      <c r="E19" s="53">
        <f t="shared" si="0"/>
        <v>2.4123879380603098E-2</v>
      </c>
      <c r="F19" s="53">
        <f t="shared" si="1"/>
        <v>0.13033905768383972</v>
      </c>
      <c r="H19" s="13" t="s">
        <v>74</v>
      </c>
      <c r="I19" s="13">
        <v>60</v>
      </c>
      <c r="J19" s="13">
        <v>548883</v>
      </c>
      <c r="K19" s="13">
        <v>9148.0499999999993</v>
      </c>
      <c r="L19" s="13">
        <v>4286845.1669491595</v>
      </c>
    </row>
    <row r="20" spans="1:14" ht="13.5" thickBot="1" x14ac:dyDescent="0.25">
      <c r="A20" s="55">
        <f>'Complaints'!A20</f>
        <v>40725</v>
      </c>
      <c r="B20">
        <f>'Complaints'!B20</f>
        <v>269</v>
      </c>
      <c r="C20">
        <f>'Mower Unit Sales'!G20</f>
        <v>10720</v>
      </c>
      <c r="D20">
        <f>'Tractor Unit Sales'!G20</f>
        <v>2154</v>
      </c>
      <c r="E20" s="53">
        <f t="shared" si="0"/>
        <v>2.5093283582089551E-2</v>
      </c>
      <c r="F20" s="53">
        <f t="shared" si="1"/>
        <v>0.12488393686165274</v>
      </c>
      <c r="H20" s="14" t="s">
        <v>75</v>
      </c>
      <c r="I20" s="14">
        <v>60</v>
      </c>
      <c r="J20" s="14">
        <v>158411</v>
      </c>
      <c r="K20" s="14">
        <v>2640.1833333333334</v>
      </c>
      <c r="L20" s="14">
        <v>661670.28785310767</v>
      </c>
    </row>
    <row r="21" spans="1:14" x14ac:dyDescent="0.2">
      <c r="A21" s="55">
        <f>'Complaints'!A21</f>
        <v>40756</v>
      </c>
      <c r="B21">
        <f>'Complaints'!B21</f>
        <v>256</v>
      </c>
      <c r="C21">
        <f>'Mower Unit Sales'!G21</f>
        <v>9650</v>
      </c>
      <c r="D21">
        <f>'Tractor Unit Sales'!G21</f>
        <v>2146</v>
      </c>
      <c r="E21" s="53">
        <f t="shared" si="0"/>
        <v>2.6528497409326425E-2</v>
      </c>
      <c r="F21" s="53">
        <f t="shared" si="1"/>
        <v>0.11929170549860205</v>
      </c>
    </row>
    <row r="22" spans="1:14" x14ac:dyDescent="0.2">
      <c r="A22" s="55">
        <f>'Complaints'!A22</f>
        <v>40787</v>
      </c>
      <c r="B22">
        <f>'Complaints'!B22</f>
        <v>231</v>
      </c>
      <c r="C22">
        <f>'Mower Unit Sales'!G22</f>
        <v>8310</v>
      </c>
      <c r="D22">
        <f>'Tractor Unit Sales'!G22</f>
        <v>2085</v>
      </c>
      <c r="E22" s="53">
        <f t="shared" si="0"/>
        <v>2.779783393501805E-2</v>
      </c>
      <c r="F22" s="53">
        <f t="shared" si="1"/>
        <v>0.11079136690647481</v>
      </c>
    </row>
    <row r="23" spans="1:14" ht="13.5" thickBot="1" x14ac:dyDescent="0.25">
      <c r="A23" s="55">
        <f>'Complaints'!A23</f>
        <v>40817</v>
      </c>
      <c r="B23">
        <f>'Complaints'!B23</f>
        <v>214</v>
      </c>
      <c r="C23">
        <f>'Mower Unit Sales'!G23</f>
        <v>7510</v>
      </c>
      <c r="D23">
        <f>'Tractor Unit Sales'!G23</f>
        <v>1970</v>
      </c>
      <c r="E23" s="53">
        <f t="shared" si="0"/>
        <v>2.8495339547270307E-2</v>
      </c>
      <c r="F23" s="53">
        <f t="shared" si="1"/>
        <v>0.10862944162436548</v>
      </c>
      <c r="H23" t="s">
        <v>58</v>
      </c>
    </row>
    <row r="24" spans="1:14" x14ac:dyDescent="0.2">
      <c r="A24" s="55">
        <f>'Complaints'!A24</f>
        <v>40848</v>
      </c>
      <c r="B24">
        <f>'Complaints'!B24</f>
        <v>201</v>
      </c>
      <c r="C24">
        <f>'Mower Unit Sales'!G24</f>
        <v>6250</v>
      </c>
      <c r="D24">
        <f>'Tractor Unit Sales'!G24</f>
        <v>1936</v>
      </c>
      <c r="E24" s="53">
        <f t="shared" si="0"/>
        <v>3.2160000000000001E-2</v>
      </c>
      <c r="F24" s="53">
        <f t="shared" si="1"/>
        <v>0.10382231404958678</v>
      </c>
      <c r="H24" s="15" t="s">
        <v>60</v>
      </c>
      <c r="I24" s="15" t="s">
        <v>61</v>
      </c>
      <c r="J24" s="15" t="s">
        <v>54</v>
      </c>
      <c r="K24" s="15" t="s">
        <v>62</v>
      </c>
      <c r="L24" s="15" t="s">
        <v>63</v>
      </c>
      <c r="M24" s="15" t="s">
        <v>64</v>
      </c>
      <c r="N24" s="15" t="s">
        <v>65</v>
      </c>
    </row>
    <row r="25" spans="1:14" x14ac:dyDescent="0.2">
      <c r="A25" s="55">
        <f>'Complaints'!A25</f>
        <v>40878</v>
      </c>
      <c r="B25">
        <f>'Complaints'!B25</f>
        <v>171</v>
      </c>
      <c r="C25">
        <f>'Mower Unit Sales'!G25</f>
        <v>5370</v>
      </c>
      <c r="D25">
        <f>'Tractor Unit Sales'!G25</f>
        <v>1850</v>
      </c>
      <c r="E25" s="53">
        <f t="shared" si="0"/>
        <v>3.1843575418994415E-2</v>
      </c>
      <c r="F25" s="53">
        <f t="shared" si="1"/>
        <v>9.2432432432432432E-2</v>
      </c>
      <c r="H25" s="13" t="s">
        <v>67</v>
      </c>
      <c r="I25" s="13">
        <v>2545301178.1333332</v>
      </c>
      <c r="J25" s="13">
        <v>2</v>
      </c>
      <c r="K25" s="13">
        <v>1272650589.0666666</v>
      </c>
      <c r="L25" s="13">
        <v>771.19662017367261</v>
      </c>
      <c r="M25" s="13">
        <v>4.1202877246508334E-88</v>
      </c>
      <c r="N25" s="13">
        <v>3.0470121387695417</v>
      </c>
    </row>
    <row r="26" spans="1:14" x14ac:dyDescent="0.2">
      <c r="A26" s="55">
        <f>'Complaints'!A26</f>
        <v>40909</v>
      </c>
      <c r="B26">
        <f>'Complaints'!B26</f>
        <v>200</v>
      </c>
      <c r="C26">
        <f>'Mower Unit Sales'!G26</f>
        <v>6970</v>
      </c>
      <c r="D26">
        <f>'Tractor Unit Sales'!G26</f>
        <v>2000</v>
      </c>
      <c r="E26" s="53">
        <f t="shared" si="0"/>
        <v>2.8694404591104734E-2</v>
      </c>
      <c r="F26" s="53">
        <f t="shared" si="1"/>
        <v>0.1</v>
      </c>
      <c r="H26" s="13" t="s">
        <v>68</v>
      </c>
      <c r="I26" s="13">
        <v>292090432.41666681</v>
      </c>
      <c r="J26" s="13">
        <v>177</v>
      </c>
      <c r="K26" s="13">
        <v>1650228.4317325808</v>
      </c>
      <c r="L26" s="13"/>
      <c r="M26" s="13"/>
      <c r="N26" s="13"/>
    </row>
    <row r="27" spans="1:14" x14ac:dyDescent="0.2">
      <c r="A27" s="55">
        <f>'Complaints'!A27</f>
        <v>40940</v>
      </c>
      <c r="B27">
        <f>'Complaints'!B27</f>
        <v>216</v>
      </c>
      <c r="C27">
        <f>'Mower Unit Sales'!G27</f>
        <v>9160</v>
      </c>
      <c r="D27">
        <f>'Tractor Unit Sales'!G27</f>
        <v>2324</v>
      </c>
      <c r="E27" s="53">
        <f t="shared" si="0"/>
        <v>2.3580786026200874E-2</v>
      </c>
      <c r="F27" s="53">
        <f t="shared" si="1"/>
        <v>9.2943201376936319E-2</v>
      </c>
      <c r="H27" s="13"/>
      <c r="I27" s="13"/>
      <c r="J27" s="13"/>
      <c r="K27" s="13"/>
      <c r="L27" s="13"/>
      <c r="M27" s="13"/>
      <c r="N27" s="13"/>
    </row>
    <row r="28" spans="1:14" ht="13.5" thickBot="1" x14ac:dyDescent="0.25">
      <c r="A28" s="55">
        <f>'Complaints'!A28</f>
        <v>40969</v>
      </c>
      <c r="B28">
        <f>'Complaints'!B28</f>
        <v>234</v>
      </c>
      <c r="C28">
        <f>'Mower Unit Sales'!G28</f>
        <v>9970</v>
      </c>
      <c r="D28">
        <f>'Tractor Unit Sales'!G28</f>
        <v>2510</v>
      </c>
      <c r="E28" s="53">
        <f t="shared" si="0"/>
        <v>2.3470411233701104E-2</v>
      </c>
      <c r="F28" s="53">
        <f t="shared" si="1"/>
        <v>9.3227091633466139E-2</v>
      </c>
      <c r="H28" s="14" t="s">
        <v>69</v>
      </c>
      <c r="I28" s="14">
        <v>2837391610.5500002</v>
      </c>
      <c r="J28" s="14">
        <v>179</v>
      </c>
      <c r="K28" s="14"/>
      <c r="L28" s="14"/>
      <c r="M28" s="14"/>
      <c r="N28" s="14"/>
    </row>
    <row r="29" spans="1:14" x14ac:dyDescent="0.2">
      <c r="A29" s="55">
        <f>'Complaints'!A29</f>
        <v>41000</v>
      </c>
      <c r="B29">
        <f>'Complaints'!B29</f>
        <v>253</v>
      </c>
      <c r="C29">
        <f>'Mower Unit Sales'!G29</f>
        <v>11020</v>
      </c>
      <c r="D29">
        <f>'Tractor Unit Sales'!G29</f>
        <v>2672</v>
      </c>
      <c r="E29" s="53">
        <f t="shared" si="0"/>
        <v>2.295825771324864E-2</v>
      </c>
      <c r="F29" s="53">
        <f t="shared" si="1"/>
        <v>9.4685628742514974E-2</v>
      </c>
    </row>
    <row r="30" spans="1:14" x14ac:dyDescent="0.2">
      <c r="A30" s="55">
        <f>'Complaints'!A30</f>
        <v>41030</v>
      </c>
      <c r="B30">
        <f>'Complaints'!B30</f>
        <v>282</v>
      </c>
      <c r="C30">
        <f>'Mower Unit Sales'!G30</f>
        <v>11780</v>
      </c>
      <c r="D30">
        <f>'Tractor Unit Sales'!G30</f>
        <v>2780</v>
      </c>
      <c r="E30" s="53">
        <f t="shared" si="0"/>
        <v>2.393887945670628E-2</v>
      </c>
      <c r="F30" s="53">
        <f t="shared" si="1"/>
        <v>0.10143884892086331</v>
      </c>
      <c r="H30" s="31"/>
      <c r="I30" s="31"/>
      <c r="J30" s="31"/>
    </row>
    <row r="31" spans="1:14" x14ac:dyDescent="0.2">
      <c r="A31" s="55">
        <f>'Complaints'!A31</f>
        <v>41061</v>
      </c>
      <c r="B31">
        <f>'Complaints'!B31</f>
        <v>305</v>
      </c>
      <c r="C31">
        <f>'Mower Unit Sales'!G31</f>
        <v>12280</v>
      </c>
      <c r="D31">
        <f>'Tractor Unit Sales'!G31</f>
        <v>2813</v>
      </c>
      <c r="E31" s="53">
        <f t="shared" si="0"/>
        <v>2.48371335504886E-2</v>
      </c>
      <c r="F31" s="53">
        <f t="shared" si="1"/>
        <v>0.10842516885886953</v>
      </c>
      <c r="H31" s="31"/>
      <c r="I31" s="31"/>
      <c r="J31" s="31"/>
    </row>
    <row r="32" spans="1:14" x14ac:dyDescent="0.2">
      <c r="A32" s="55">
        <f>'Complaints'!A32</f>
        <v>41091</v>
      </c>
      <c r="B32">
        <f>'Complaints'!B32</f>
        <v>296</v>
      </c>
      <c r="C32">
        <f>'Mower Unit Sales'!G32</f>
        <v>10960</v>
      </c>
      <c r="D32">
        <f>'Tractor Unit Sales'!G32</f>
        <v>2716</v>
      </c>
      <c r="E32" s="53">
        <f t="shared" si="0"/>
        <v>2.7007299270072994E-2</v>
      </c>
      <c r="F32" s="53">
        <f t="shared" si="1"/>
        <v>0.10898379970544919</v>
      </c>
      <c r="H32" s="32"/>
      <c r="I32" s="32"/>
      <c r="J32" s="32"/>
    </row>
    <row r="33" spans="1:10" x14ac:dyDescent="0.2">
      <c r="A33" s="55">
        <f>'Complaints'!A33</f>
        <v>41122</v>
      </c>
      <c r="B33">
        <f>'Complaints'!B33</f>
        <v>279</v>
      </c>
      <c r="C33">
        <f>'Mower Unit Sales'!G33</f>
        <v>9500</v>
      </c>
      <c r="D33">
        <f>'Tractor Unit Sales'!G33</f>
        <v>2581</v>
      </c>
      <c r="E33" s="53">
        <f t="shared" si="0"/>
        <v>2.9368421052631578E-2</v>
      </c>
      <c r="F33" s="53">
        <f t="shared" si="1"/>
        <v>0.10809763657497094</v>
      </c>
      <c r="H33" s="13"/>
      <c r="I33" s="13"/>
      <c r="J33" s="13"/>
    </row>
    <row r="34" spans="1:10" x14ac:dyDescent="0.2">
      <c r="A34" s="55">
        <f>'Complaints'!A34</f>
        <v>41153</v>
      </c>
      <c r="B34">
        <f>'Complaints'!B34</f>
        <v>266</v>
      </c>
      <c r="C34">
        <f>'Mower Unit Sales'!G34</f>
        <v>8230</v>
      </c>
      <c r="D34">
        <f>'Tractor Unit Sales'!G34</f>
        <v>2476</v>
      </c>
      <c r="E34" s="53">
        <f t="shared" si="0"/>
        <v>3.2320777642770353E-2</v>
      </c>
      <c r="F34" s="53">
        <f t="shared" si="1"/>
        <v>0.1074313408723748</v>
      </c>
      <c r="H34" s="13"/>
      <c r="I34" s="13"/>
      <c r="J34" s="13"/>
    </row>
    <row r="35" spans="1:10" x14ac:dyDescent="0.2">
      <c r="A35" s="55">
        <f>'Complaints'!A35</f>
        <v>41183</v>
      </c>
      <c r="B35">
        <f>'Complaints'!B35</f>
        <v>243</v>
      </c>
      <c r="C35">
        <f>'Mower Unit Sales'!G35</f>
        <v>7420</v>
      </c>
      <c r="D35">
        <f>'Tractor Unit Sales'!G35</f>
        <v>2317</v>
      </c>
      <c r="E35" s="53">
        <f t="shared" si="0"/>
        <v>3.2749326145552558E-2</v>
      </c>
      <c r="F35" s="53">
        <f t="shared" si="1"/>
        <v>0.10487699611566681</v>
      </c>
      <c r="H35" s="13"/>
      <c r="I35" s="13"/>
      <c r="J35" s="13"/>
    </row>
    <row r="36" spans="1:10" x14ac:dyDescent="0.2">
      <c r="A36" s="55">
        <f>'Complaints'!A36</f>
        <v>41214</v>
      </c>
      <c r="B36">
        <f>'Complaints'!B36</f>
        <v>232</v>
      </c>
      <c r="C36">
        <f>'Mower Unit Sales'!G36</f>
        <v>6630</v>
      </c>
      <c r="D36">
        <f>'Tractor Unit Sales'!G36</f>
        <v>2324</v>
      </c>
      <c r="E36" s="53">
        <f t="shared" si="0"/>
        <v>3.4992458521870287E-2</v>
      </c>
      <c r="F36" s="53">
        <f t="shared" si="1"/>
        <v>9.9827882960413075E-2</v>
      </c>
      <c r="H36" s="13"/>
      <c r="I36" s="13"/>
      <c r="J36" s="13"/>
    </row>
    <row r="37" spans="1:10" x14ac:dyDescent="0.2">
      <c r="A37" s="55">
        <f>'Complaints'!A37</f>
        <v>41244</v>
      </c>
      <c r="B37">
        <f>'Complaints'!B37</f>
        <v>203</v>
      </c>
      <c r="C37">
        <f>'Mower Unit Sales'!G37</f>
        <v>5350</v>
      </c>
      <c r="D37">
        <f>'Tractor Unit Sales'!G37</f>
        <v>2080</v>
      </c>
      <c r="E37" s="53">
        <f t="shared" si="0"/>
        <v>3.7943925233644857E-2</v>
      </c>
      <c r="F37" s="53">
        <f t="shared" si="1"/>
        <v>9.7596153846153846E-2</v>
      </c>
      <c r="H37" s="13"/>
      <c r="I37" s="13"/>
      <c r="J37" s="13"/>
    </row>
    <row r="38" spans="1:10" x14ac:dyDescent="0.2">
      <c r="A38" s="55">
        <f>'Complaints'!A38</f>
        <v>41275</v>
      </c>
      <c r="B38">
        <f>'Complaints'!B38</f>
        <v>216</v>
      </c>
      <c r="C38">
        <f>'Mower Unit Sales'!G38</f>
        <v>7030</v>
      </c>
      <c r="D38">
        <f>'Tractor Unit Sales'!G38</f>
        <v>2202</v>
      </c>
      <c r="E38" s="53">
        <f t="shared" si="0"/>
        <v>3.0725462304409673E-2</v>
      </c>
      <c r="F38" s="53">
        <f t="shared" si="1"/>
        <v>9.8092643051771122E-2</v>
      </c>
      <c r="H38" s="13"/>
      <c r="I38" s="13"/>
      <c r="J38" s="13"/>
    </row>
    <row r="39" spans="1:10" x14ac:dyDescent="0.2">
      <c r="A39" s="55">
        <f>'Complaints'!A39</f>
        <v>41306</v>
      </c>
      <c r="B39">
        <f>'Complaints'!B39</f>
        <v>239</v>
      </c>
      <c r="C39">
        <f>'Mower Unit Sales'!G39</f>
        <v>9220</v>
      </c>
      <c r="D39">
        <f>'Tractor Unit Sales'!G39</f>
        <v>2540</v>
      </c>
      <c r="E39" s="53">
        <f t="shared" si="0"/>
        <v>2.5921908893709329E-2</v>
      </c>
      <c r="F39" s="53">
        <f t="shared" si="1"/>
        <v>9.409448818897638E-2</v>
      </c>
      <c r="H39" s="13"/>
      <c r="I39" s="13"/>
      <c r="J39" s="13"/>
    </row>
    <row r="40" spans="1:10" x14ac:dyDescent="0.2">
      <c r="A40" s="55">
        <f>'Complaints'!A40</f>
        <v>41334</v>
      </c>
      <c r="B40">
        <f>'Complaints'!B40</f>
        <v>266</v>
      </c>
      <c r="C40">
        <f>'Mower Unit Sales'!G40</f>
        <v>10050</v>
      </c>
      <c r="D40">
        <f>'Tractor Unit Sales'!G40</f>
        <v>2867</v>
      </c>
      <c r="E40" s="53">
        <f t="shared" si="0"/>
        <v>2.6467661691542289E-2</v>
      </c>
      <c r="F40" s="53">
        <f t="shared" si="1"/>
        <v>9.2779909312870598E-2</v>
      </c>
      <c r="H40" s="13"/>
      <c r="I40" s="13"/>
      <c r="J40" s="13"/>
    </row>
    <row r="41" spans="1:10" x14ac:dyDescent="0.2">
      <c r="A41" s="55">
        <f>'Complaints'!A41</f>
        <v>41365</v>
      </c>
      <c r="B41">
        <f>'Complaints'!B41</f>
        <v>284</v>
      </c>
      <c r="C41">
        <f>'Mower Unit Sales'!G41</f>
        <v>11050</v>
      </c>
      <c r="D41">
        <f>'Tractor Unit Sales'!G41</f>
        <v>3348</v>
      </c>
      <c r="E41" s="53">
        <f t="shared" si="0"/>
        <v>2.5701357466063349E-2</v>
      </c>
      <c r="F41" s="53">
        <f t="shared" si="1"/>
        <v>8.4826762246117085E-2</v>
      </c>
      <c r="H41" s="13"/>
      <c r="I41" s="13"/>
      <c r="J41" s="13"/>
    </row>
    <row r="42" spans="1:10" x14ac:dyDescent="0.2">
      <c r="A42" s="55">
        <f>'Complaints'!A42</f>
        <v>41395</v>
      </c>
      <c r="B42">
        <f>'Complaints'!B42</f>
        <v>315</v>
      </c>
      <c r="C42">
        <f>'Mower Unit Sales'!G42</f>
        <v>11640</v>
      </c>
      <c r="D42">
        <f>'Tractor Unit Sales'!G42</f>
        <v>3550</v>
      </c>
      <c r="E42" s="53">
        <f t="shared" si="0"/>
        <v>2.7061855670103094E-2</v>
      </c>
      <c r="F42" s="53">
        <f t="shared" si="1"/>
        <v>8.873239436619719E-2</v>
      </c>
      <c r="H42" s="13"/>
      <c r="I42" s="13"/>
      <c r="J42" s="13"/>
    </row>
    <row r="43" spans="1:10" x14ac:dyDescent="0.2">
      <c r="A43" s="55">
        <f>'Complaints'!A43</f>
        <v>41426</v>
      </c>
      <c r="B43">
        <f>'Complaints'!B43</f>
        <v>340</v>
      </c>
      <c r="C43">
        <f>'Mower Unit Sales'!G43</f>
        <v>12040</v>
      </c>
      <c r="D43">
        <f>'Tractor Unit Sales'!G43</f>
        <v>3432</v>
      </c>
      <c r="E43" s="53">
        <f t="shared" si="0"/>
        <v>2.823920265780731E-2</v>
      </c>
      <c r="F43" s="53">
        <f t="shared" si="1"/>
        <v>9.9067599067599071E-2</v>
      </c>
      <c r="H43" s="13"/>
      <c r="I43" s="13"/>
      <c r="J43" s="13"/>
    </row>
    <row r="44" spans="1:10" x14ac:dyDescent="0.2">
      <c r="A44" s="55">
        <f>'Complaints'!A44</f>
        <v>41456</v>
      </c>
      <c r="B44">
        <f>'Complaints'!B44</f>
        <v>319</v>
      </c>
      <c r="C44">
        <f>'Mower Unit Sales'!G44</f>
        <v>11010</v>
      </c>
      <c r="D44">
        <f>'Tractor Unit Sales'!G44</f>
        <v>3400</v>
      </c>
      <c r="E44" s="53">
        <f t="shared" si="0"/>
        <v>2.8973660308810174E-2</v>
      </c>
      <c r="F44" s="53">
        <f t="shared" si="1"/>
        <v>9.3823529411764708E-2</v>
      </c>
    </row>
    <row r="45" spans="1:10" x14ac:dyDescent="0.2">
      <c r="A45" s="55">
        <f>'Complaints'!A45</f>
        <v>41487</v>
      </c>
      <c r="B45">
        <f>'Complaints'!B45</f>
        <v>304</v>
      </c>
      <c r="C45">
        <f>'Mower Unit Sales'!G45</f>
        <v>9830</v>
      </c>
      <c r="D45">
        <f>'Tractor Unit Sales'!G45</f>
        <v>3261</v>
      </c>
      <c r="E45" s="53">
        <f t="shared" si="0"/>
        <v>3.0925737538148524E-2</v>
      </c>
      <c r="F45" s="53">
        <f t="shared" si="1"/>
        <v>9.3222937749156701E-2</v>
      </c>
    </row>
    <row r="46" spans="1:10" x14ac:dyDescent="0.2">
      <c r="A46" s="55">
        <f>'Complaints'!A46</f>
        <v>41518</v>
      </c>
      <c r="B46">
        <f>'Complaints'!B46</f>
        <v>277</v>
      </c>
      <c r="C46">
        <f>'Mower Unit Sales'!G46</f>
        <v>8370</v>
      </c>
      <c r="D46">
        <f>'Tractor Unit Sales'!G46</f>
        <v>3209</v>
      </c>
      <c r="E46" s="53">
        <f t="shared" si="0"/>
        <v>3.3094384707287934E-2</v>
      </c>
      <c r="F46" s="53">
        <f t="shared" si="1"/>
        <v>8.6319725771268313E-2</v>
      </c>
    </row>
    <row r="47" spans="1:10" x14ac:dyDescent="0.2">
      <c r="A47" s="55">
        <f>'Complaints'!A47</f>
        <v>41548</v>
      </c>
      <c r="B47">
        <f>'Complaints'!B47</f>
        <v>250</v>
      </c>
      <c r="C47">
        <f>'Mower Unit Sales'!G47</f>
        <v>7490</v>
      </c>
      <c r="D47">
        <f>'Tractor Unit Sales'!G47</f>
        <v>3132</v>
      </c>
      <c r="E47" s="53">
        <f t="shared" si="0"/>
        <v>3.3377837116154871E-2</v>
      </c>
      <c r="F47" s="53">
        <f t="shared" si="1"/>
        <v>7.9821200510855686E-2</v>
      </c>
    </row>
    <row r="48" spans="1:10" x14ac:dyDescent="0.2">
      <c r="A48" s="55">
        <f>'Complaints'!A48</f>
        <v>41579</v>
      </c>
      <c r="B48">
        <f>'Complaints'!B48</f>
        <v>228</v>
      </c>
      <c r="C48">
        <f>'Mower Unit Sales'!G48</f>
        <v>6530</v>
      </c>
      <c r="D48">
        <f>'Tractor Unit Sales'!G48</f>
        <v>3027</v>
      </c>
      <c r="E48" s="53">
        <f t="shared" si="0"/>
        <v>3.4915773353751914E-2</v>
      </c>
      <c r="F48" s="53">
        <f t="shared" si="1"/>
        <v>7.5322101090188304E-2</v>
      </c>
    </row>
    <row r="49" spans="1:6" x14ac:dyDescent="0.2">
      <c r="A49" s="55">
        <f>'Complaints'!A49</f>
        <v>41609</v>
      </c>
      <c r="B49">
        <f>'Complaints'!B49</f>
        <v>213</v>
      </c>
      <c r="C49">
        <f>'Mower Unit Sales'!G49</f>
        <v>6300</v>
      </c>
      <c r="D49">
        <f>'Tractor Unit Sales'!G49</f>
        <v>2777</v>
      </c>
      <c r="E49" s="53">
        <f t="shared" si="0"/>
        <v>3.380952380952381E-2</v>
      </c>
      <c r="F49" s="53">
        <f t="shared" si="1"/>
        <v>7.6701476413395753E-2</v>
      </c>
    </row>
    <row r="50" spans="1:6" x14ac:dyDescent="0.2">
      <c r="A50" s="55">
        <f>'Complaints'!A50</f>
        <v>41640</v>
      </c>
      <c r="B50">
        <f>'Complaints'!B50</f>
        <v>240</v>
      </c>
      <c r="C50">
        <f>'Mower Unit Sales'!G50</f>
        <v>7080</v>
      </c>
      <c r="D50">
        <f>'Tractor Unit Sales'!G50</f>
        <v>2821</v>
      </c>
      <c r="E50" s="53">
        <f t="shared" si="0"/>
        <v>3.3898305084745763E-2</v>
      </c>
      <c r="F50" s="53">
        <f t="shared" si="1"/>
        <v>8.5076214108472173E-2</v>
      </c>
    </row>
    <row r="51" spans="1:6" x14ac:dyDescent="0.2">
      <c r="A51" s="55">
        <f>'Complaints'!A51</f>
        <v>41671</v>
      </c>
      <c r="B51">
        <f>'Complaints'!B51</f>
        <v>251</v>
      </c>
      <c r="C51">
        <f>'Mower Unit Sales'!G51</f>
        <v>9250</v>
      </c>
      <c r="D51">
        <f>'Tractor Unit Sales'!G51</f>
        <v>3209</v>
      </c>
      <c r="E51" s="53">
        <f t="shared" si="0"/>
        <v>2.7135135135135133E-2</v>
      </c>
      <c r="F51" s="53">
        <f t="shared" si="1"/>
        <v>7.8217513244001252E-2</v>
      </c>
    </row>
    <row r="52" spans="1:6" x14ac:dyDescent="0.2">
      <c r="A52" s="55">
        <f>'Complaints'!A52</f>
        <v>41699</v>
      </c>
      <c r="B52">
        <f>'Complaints'!B52</f>
        <v>281</v>
      </c>
      <c r="C52">
        <f>'Mower Unit Sales'!G52</f>
        <v>10020</v>
      </c>
      <c r="D52">
        <f>'Tractor Unit Sales'!G52</f>
        <v>3553</v>
      </c>
      <c r="E52" s="53">
        <f t="shared" si="0"/>
        <v>2.8043912175648701E-2</v>
      </c>
      <c r="F52" s="53">
        <f t="shared" si="1"/>
        <v>7.9088094567970724E-2</v>
      </c>
    </row>
    <row r="53" spans="1:6" x14ac:dyDescent="0.2">
      <c r="A53" s="55">
        <f>'Complaints'!A53</f>
        <v>41730</v>
      </c>
      <c r="B53">
        <f>'Complaints'!B53</f>
        <v>298</v>
      </c>
      <c r="C53">
        <f>'Mower Unit Sales'!G53</f>
        <v>10995</v>
      </c>
      <c r="D53">
        <f>'Tractor Unit Sales'!G53</f>
        <v>3820</v>
      </c>
      <c r="E53" s="53">
        <f t="shared" si="0"/>
        <v>2.7103228740336518E-2</v>
      </c>
      <c r="F53" s="53">
        <f t="shared" si="1"/>
        <v>7.8010471204188483E-2</v>
      </c>
    </row>
    <row r="54" spans="1:6" x14ac:dyDescent="0.2">
      <c r="A54" s="55">
        <f>'Complaints'!A54</f>
        <v>41760</v>
      </c>
      <c r="B54">
        <f>'Complaints'!B54</f>
        <v>322</v>
      </c>
      <c r="C54">
        <f>'Mower Unit Sales'!G54</f>
        <v>11436</v>
      </c>
      <c r="D54">
        <f>'Tractor Unit Sales'!G54</f>
        <v>4133</v>
      </c>
      <c r="E54" s="53">
        <f t="shared" si="0"/>
        <v>2.8156698146204966E-2</v>
      </c>
      <c r="F54" s="53">
        <f t="shared" si="1"/>
        <v>7.7909508831357374E-2</v>
      </c>
    </row>
    <row r="55" spans="1:6" x14ac:dyDescent="0.2">
      <c r="A55" s="55">
        <f>'Complaints'!A55</f>
        <v>41791</v>
      </c>
      <c r="B55">
        <f>'Complaints'!B55</f>
        <v>350</v>
      </c>
      <c r="C55">
        <f>'Mower Unit Sales'!G55</f>
        <v>12082</v>
      </c>
      <c r="D55">
        <f>'Tractor Unit Sales'!G55</f>
        <v>4476</v>
      </c>
      <c r="E55" s="53">
        <f t="shared" si="0"/>
        <v>2.8968713789107765E-2</v>
      </c>
      <c r="F55" s="53">
        <f t="shared" si="1"/>
        <v>7.8194816800714925E-2</v>
      </c>
    </row>
    <row r="56" spans="1:6" x14ac:dyDescent="0.2">
      <c r="A56" s="55">
        <f>'Complaints'!A56</f>
        <v>41821</v>
      </c>
      <c r="B56">
        <f>'Complaints'!B56</f>
        <v>330</v>
      </c>
      <c r="C56">
        <f>'Mower Unit Sales'!G56</f>
        <v>11486</v>
      </c>
      <c r="D56">
        <f>'Tractor Unit Sales'!G56</f>
        <v>4436</v>
      </c>
      <c r="E56" s="53">
        <f t="shared" si="0"/>
        <v>2.8730628591328574E-2</v>
      </c>
      <c r="F56" s="53">
        <f t="shared" si="1"/>
        <v>7.4391343552750219E-2</v>
      </c>
    </row>
    <row r="57" spans="1:6" x14ac:dyDescent="0.2">
      <c r="A57" s="55">
        <f>'Complaints'!A57</f>
        <v>41852</v>
      </c>
      <c r="B57">
        <f>'Complaints'!B57</f>
        <v>311</v>
      </c>
      <c r="C57">
        <f>'Mower Unit Sales'!G57</f>
        <v>9504</v>
      </c>
      <c r="D57">
        <f>'Tractor Unit Sales'!G57</f>
        <v>4256</v>
      </c>
      <c r="E57" s="53">
        <f t="shared" si="0"/>
        <v>3.2723063973063973E-2</v>
      </c>
      <c r="F57" s="53">
        <f t="shared" si="1"/>
        <v>7.3073308270676693E-2</v>
      </c>
    </row>
    <row r="58" spans="1:6" x14ac:dyDescent="0.2">
      <c r="A58" s="55">
        <f>'Complaints'!A58</f>
        <v>41883</v>
      </c>
      <c r="B58">
        <f>'Complaints'!B58</f>
        <v>289</v>
      </c>
      <c r="C58">
        <f>'Mower Unit Sales'!G58</f>
        <v>8635</v>
      </c>
      <c r="D58">
        <f>'Tractor Unit Sales'!G58</f>
        <v>4067</v>
      </c>
      <c r="E58" s="53">
        <f t="shared" si="0"/>
        <v>3.3468442385639841E-2</v>
      </c>
      <c r="F58" s="53">
        <f t="shared" si="1"/>
        <v>7.1059749200885175E-2</v>
      </c>
    </row>
    <row r="59" spans="1:6" x14ac:dyDescent="0.2">
      <c r="A59" s="55">
        <f>'Complaints'!A59</f>
        <v>41913</v>
      </c>
      <c r="B59">
        <f>'Complaints'!B59</f>
        <v>265</v>
      </c>
      <c r="C59">
        <f>'Mower Unit Sales'!G59</f>
        <v>7451</v>
      </c>
      <c r="D59">
        <f>'Tractor Unit Sales'!G59</f>
        <v>3890</v>
      </c>
      <c r="E59" s="53">
        <f t="shared" si="0"/>
        <v>3.5565695879747686E-2</v>
      </c>
      <c r="F59" s="53">
        <f t="shared" si="1"/>
        <v>6.8123393316195366E-2</v>
      </c>
    </row>
    <row r="60" spans="1:6" x14ac:dyDescent="0.2">
      <c r="A60" s="55">
        <f>'Complaints'!A60</f>
        <v>41944</v>
      </c>
      <c r="B60">
        <f>'Complaints'!B60</f>
        <v>239</v>
      </c>
      <c r="C60">
        <f>'Mower Unit Sales'!G60</f>
        <v>6453</v>
      </c>
      <c r="D60">
        <f>'Tractor Unit Sales'!G60</f>
        <v>3816</v>
      </c>
      <c r="E60" s="53">
        <f t="shared" si="0"/>
        <v>3.7037037037037035E-2</v>
      </c>
      <c r="F60" s="53">
        <f t="shared" si="1"/>
        <v>6.2631027253668758E-2</v>
      </c>
    </row>
    <row r="61" spans="1:6" x14ac:dyDescent="0.2">
      <c r="A61" s="55">
        <f>'Complaints'!A61</f>
        <v>41974</v>
      </c>
      <c r="B61">
        <f>'Complaints'!B61</f>
        <v>219</v>
      </c>
      <c r="C61">
        <f>'Mower Unit Sales'!G61</f>
        <v>5651</v>
      </c>
      <c r="D61">
        <f>'Tractor Unit Sales'!G61</f>
        <v>3717</v>
      </c>
      <c r="E61" s="53">
        <f t="shared" si="0"/>
        <v>3.8754202795965316E-2</v>
      </c>
      <c r="F61" s="53">
        <f t="shared" si="1"/>
        <v>5.8918482647296204E-2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66"/>
  <sheetViews>
    <sheetView tabSelected="1" zoomScale="70" zoomScaleNormal="70" workbookViewId="0">
      <pane ySplit="1" topLeftCell="A2" activePane="bottomLeft" state="frozen"/>
      <selection pane="bottomLeft" activeCell="N40" sqref="N40"/>
    </sheetView>
  </sheetViews>
  <sheetFormatPr defaultColWidth="8.85546875" defaultRowHeight="12.75" x14ac:dyDescent="0.2"/>
  <cols>
    <col min="1" max="1" width="12" style="5" customWidth="1"/>
    <col min="2" max="2" width="9" customWidth="1"/>
    <col min="8" max="14" width="9" customWidth="1"/>
    <col min="15" max="15" width="14.140625" customWidth="1"/>
    <col min="16" max="17" width="9.85546875" customWidth="1"/>
    <col min="18" max="18" width="9" customWidth="1"/>
    <col min="19" max="19" width="20" customWidth="1"/>
    <col min="20" max="20" width="11.7109375" customWidth="1"/>
    <col min="21" max="21" width="9.42578125" customWidth="1"/>
    <col min="22" max="22" width="9.28515625" customWidth="1"/>
    <col min="24" max="24" width="17.42578125" customWidth="1"/>
  </cols>
  <sheetData>
    <row r="1" spans="1:13" ht="41.25" customHeight="1" thickBot="1" x14ac:dyDescent="0.25">
      <c r="A1" s="45" t="s">
        <v>30</v>
      </c>
      <c r="B1" s="45" t="s">
        <v>23</v>
      </c>
      <c r="C1" s="45" t="s">
        <v>24</v>
      </c>
      <c r="D1" s="45" t="s">
        <v>13</v>
      </c>
      <c r="E1" s="45" t="s">
        <v>35</v>
      </c>
      <c r="F1" s="45" t="s">
        <v>15</v>
      </c>
      <c r="G1" s="45" t="s">
        <v>31</v>
      </c>
      <c r="H1" s="45" t="s">
        <v>32</v>
      </c>
      <c r="I1" s="45" t="s">
        <v>33</v>
      </c>
      <c r="J1" s="45" t="s">
        <v>34</v>
      </c>
      <c r="K1" s="45" t="s">
        <v>36</v>
      </c>
      <c r="L1" s="45" t="s">
        <v>37</v>
      </c>
      <c r="M1" s="45" t="s">
        <v>38</v>
      </c>
    </row>
    <row r="2" spans="1:13" ht="13.5" thickTop="1" x14ac:dyDescent="0.2">
      <c r="A2" s="27">
        <v>40179</v>
      </c>
      <c r="B2">
        <v>6000</v>
      </c>
      <c r="C2">
        <v>200</v>
      </c>
      <c r="D2">
        <v>720</v>
      </c>
      <c r="E2">
        <v>100</v>
      </c>
      <c r="G2" s="1">
        <f>SUM(MowerSales[[#This Row],[NA]],MowerSales[[#This Row],[SA]],MowerSales[[#This Row],[Europe]],MowerSales[[#This Row],[Pacific]],MowerSales[[#This Row],[China]])</f>
        <v>7020</v>
      </c>
      <c r="H2" s="25">
        <f>MowerSales[[#This Row],[NA]]/IndustryMowerSales[[#This Row],[NA]]</f>
        <v>0.1</v>
      </c>
      <c r="I2" s="25">
        <f>MowerSales[[#This Row],[SA]]/IndustryMowerSales[[#This Row],[SA]]</f>
        <v>0.35</v>
      </c>
      <c r="J2" s="25">
        <f>MowerSales[[#This Row],[Europe]]/IndustryMowerSales[[#This Row],[Eur]]</f>
        <v>5.5E-2</v>
      </c>
      <c r="K2" s="25">
        <f>MowerSales[[#This Row],[Pacific]]/IndustryMowerSales[[#This Row],[Pac]]</f>
        <v>9.569377990430622E-2</v>
      </c>
      <c r="L2" s="25"/>
      <c r="M2" s="25">
        <f>MowerSales[[#This Row],[World]]/IndustryMowerSales[[#This Row],[World]]</f>
        <v>9.4023308401461114E-2</v>
      </c>
    </row>
    <row r="3" spans="1:13" x14ac:dyDescent="0.2">
      <c r="A3" s="27">
        <v>40210</v>
      </c>
      <c r="B3">
        <v>7950</v>
      </c>
      <c r="C3">
        <v>220</v>
      </c>
      <c r="D3">
        <v>990</v>
      </c>
      <c r="E3">
        <v>120</v>
      </c>
      <c r="G3" s="1">
        <f>SUM(MowerSales[[#This Row],[NA]],MowerSales[[#This Row],[SA]],MowerSales[[#This Row],[Europe]],MowerSales[[#This Row],[Pacific]],MowerSales[[#This Row],[China]])</f>
        <v>9280</v>
      </c>
      <c r="H3" s="25">
        <f>MowerSales[[#This Row],[NA]]/IndustryMowerSales[[#This Row],[NA]]</f>
        <v>0.10299999999999999</v>
      </c>
      <c r="I3" s="25">
        <f>MowerSales[[#This Row],[SA]]/IndustryMowerSales[[#This Row],[SA]]</f>
        <v>0.36000000000000004</v>
      </c>
      <c r="J3" s="25">
        <f>MowerSales[[#This Row],[Europe]]/IndustryMowerSales[[#This Row],[Eur]]</f>
        <v>5.6000000000000001E-2</v>
      </c>
      <c r="K3" s="25">
        <f>MowerSales[[#This Row],[Pacific]]/IndustryMowerSales[[#This Row],[Pac]]</f>
        <v>0.108</v>
      </c>
      <c r="L3" s="25"/>
      <c r="M3" s="25">
        <f>MowerSales[[#This Row],[World]]/IndustryMowerSales[[#This Row],[World]]</f>
        <v>9.6080913709673879E-2</v>
      </c>
    </row>
    <row r="4" spans="1:13" x14ac:dyDescent="0.2">
      <c r="A4" s="27">
        <v>40238</v>
      </c>
      <c r="B4">
        <v>8100</v>
      </c>
      <c r="C4">
        <v>250</v>
      </c>
      <c r="D4">
        <v>1320</v>
      </c>
      <c r="E4">
        <v>110</v>
      </c>
      <c r="G4" s="1">
        <f>SUM(MowerSales[[#This Row],[NA]],MowerSales[[#This Row],[SA]],MowerSales[[#This Row],[Europe]],MowerSales[[#This Row],[Pacific]],MowerSales[[#This Row],[China]])</f>
        <v>9780</v>
      </c>
      <c r="H4" s="25">
        <f>MowerSales[[#This Row],[NA]]/IndustryMowerSales[[#This Row],[NA]]</f>
        <v>0.104</v>
      </c>
      <c r="I4" s="25">
        <f>MowerSales[[#This Row],[SA]]/IndustryMowerSales[[#This Row],[SA]]</f>
        <v>0.38000000000000006</v>
      </c>
      <c r="J4" s="25">
        <f>MowerSales[[#This Row],[Europe]]/IndustryMowerSales[[#This Row],[Eur]]</f>
        <v>5.8000000000000003E-2</v>
      </c>
      <c r="K4" s="25">
        <f>MowerSales[[#This Row],[Pacific]]/IndustryMowerSales[[#This Row],[Pac]]</f>
        <v>0.10299999999999999</v>
      </c>
      <c r="L4" s="25"/>
      <c r="M4" s="25">
        <f>MowerSales[[#This Row],[World]]/IndustryMowerSales[[#This Row],[World]]</f>
        <v>9.5536648916232231E-2</v>
      </c>
    </row>
    <row r="5" spans="1:13" x14ac:dyDescent="0.2">
      <c r="A5" s="27">
        <v>40269</v>
      </c>
      <c r="B5">
        <v>9050</v>
      </c>
      <c r="C5">
        <v>280</v>
      </c>
      <c r="D5">
        <v>1650</v>
      </c>
      <c r="E5">
        <v>120</v>
      </c>
      <c r="G5" s="1">
        <f>SUM(MowerSales[[#This Row],[NA]],MowerSales[[#This Row],[SA]],MowerSales[[#This Row],[Europe]],MowerSales[[#This Row],[Pacific]],MowerSales[[#This Row],[China]])</f>
        <v>11100</v>
      </c>
      <c r="H5" s="25">
        <f>MowerSales[[#This Row],[NA]]/IndustryMowerSales[[#This Row],[NA]]</f>
        <v>0.105</v>
      </c>
      <c r="I5" s="25">
        <f>MowerSales[[#This Row],[SA]]/IndustryMowerSales[[#This Row],[SA]]</f>
        <v>0.36</v>
      </c>
      <c r="J5" s="25">
        <f>MowerSales[[#This Row],[Europe]]/IndustryMowerSales[[#This Row],[Eur]]</f>
        <v>5.8999999999999997E-2</v>
      </c>
      <c r="K5" s="25">
        <f>MowerSales[[#This Row],[Pacific]]/IndustryMowerSales[[#This Row],[Pac]]</f>
        <v>9.7000000000000003E-2</v>
      </c>
      <c r="L5" s="25"/>
      <c r="M5" s="25">
        <f>MowerSales[[#This Row],[World]]/IndustryMowerSales[[#This Row],[World]]</f>
        <v>9.5548417260414187E-2</v>
      </c>
    </row>
    <row r="6" spans="1:13" x14ac:dyDescent="0.2">
      <c r="A6" s="27">
        <v>40299</v>
      </c>
      <c r="B6">
        <v>9900</v>
      </c>
      <c r="C6">
        <v>310</v>
      </c>
      <c r="D6">
        <v>1590</v>
      </c>
      <c r="E6">
        <v>130</v>
      </c>
      <c r="G6" s="1">
        <f>SUM(MowerSales[[#This Row],[NA]],MowerSales[[#This Row],[SA]],MowerSales[[#This Row],[Europe]],MowerSales[[#This Row],[Pacific]],MowerSales[[#This Row],[China]])</f>
        <v>11930</v>
      </c>
      <c r="H6" s="25">
        <f>MowerSales[[#This Row],[NA]]/IndustryMowerSales[[#This Row],[NA]]</f>
        <v>0.10299999999999999</v>
      </c>
      <c r="I6" s="25">
        <f>MowerSales[[#This Row],[SA]]/IndustryMowerSales[[#This Row],[SA]]</f>
        <v>0.35</v>
      </c>
      <c r="J6" s="25">
        <f>MowerSales[[#This Row],[Europe]]/IndustryMowerSales[[#This Row],[Eur]]</f>
        <v>5.7000000000000002E-2</v>
      </c>
      <c r="K6" s="25">
        <f>MowerSales[[#This Row],[Pacific]]/IndustryMowerSales[[#This Row],[Pac]]</f>
        <v>9.8999999999999991E-2</v>
      </c>
      <c r="L6" s="25"/>
      <c r="M6" s="25">
        <f>MowerSales[[#This Row],[World]]/IndustryMowerSales[[#This Row],[World]]</f>
        <v>9.4524932639377043E-2</v>
      </c>
    </row>
    <row r="7" spans="1:13" x14ac:dyDescent="0.2">
      <c r="A7" s="27">
        <v>40330</v>
      </c>
      <c r="B7">
        <v>10200</v>
      </c>
      <c r="C7">
        <v>300</v>
      </c>
      <c r="D7">
        <v>1620</v>
      </c>
      <c r="E7">
        <v>120</v>
      </c>
      <c r="G7" s="1">
        <f>SUM(MowerSales[[#This Row],[NA]],MowerSales[[#This Row],[SA]],MowerSales[[#This Row],[Europe]],MowerSales[[#This Row],[Pacific]],MowerSales[[#This Row],[China]])</f>
        <v>12240</v>
      </c>
      <c r="H7" s="25">
        <f>MowerSales[[#This Row],[NA]]/IndustryMowerSales[[#This Row],[NA]]</f>
        <v>0.105</v>
      </c>
      <c r="I7" s="25">
        <f>MowerSales[[#This Row],[SA]]/IndustryMowerSales[[#This Row],[SA]]</f>
        <v>0.34</v>
      </c>
      <c r="J7" s="25">
        <f>MowerSales[[#This Row],[Europe]]/IndustryMowerSales[[#This Row],[Eur]]</f>
        <v>5.2999999999999999E-2</v>
      </c>
      <c r="K7" s="25">
        <f>MowerSales[[#This Row],[Pacific]]/IndustryMowerSales[[#This Row],[Pac]]</f>
        <v>0.10199999999999999</v>
      </c>
      <c r="L7" s="25"/>
      <c r="M7" s="25">
        <f>MowerSales[[#This Row],[World]]/IndustryMowerSales[[#This Row],[World]]</f>
        <v>9.4322379634550882E-2</v>
      </c>
    </row>
    <row r="8" spans="1:13" x14ac:dyDescent="0.2">
      <c r="A8" s="27">
        <v>40360</v>
      </c>
      <c r="B8">
        <v>8730</v>
      </c>
      <c r="C8">
        <v>280</v>
      </c>
      <c r="D8">
        <v>1590</v>
      </c>
      <c r="E8">
        <v>140</v>
      </c>
      <c r="G8" s="1">
        <f>SUM(MowerSales[[#This Row],[NA]],MowerSales[[#This Row],[SA]],MowerSales[[#This Row],[Europe]],MowerSales[[#This Row],[Pacific]],MowerSales[[#This Row],[China]])</f>
        <v>10740</v>
      </c>
      <c r="H8" s="25">
        <f>MowerSales[[#This Row],[NA]]/IndustryMowerSales[[#This Row],[NA]]</f>
        <v>0.10299999999999999</v>
      </c>
      <c r="I8" s="25">
        <f>MowerSales[[#This Row],[SA]]/IndustryMowerSales[[#This Row],[SA]]</f>
        <v>0.33</v>
      </c>
      <c r="J8" s="25">
        <f>MowerSales[[#This Row],[Europe]]/IndustryMowerSales[[#This Row],[Eur]]</f>
        <v>5.3999999999999999E-2</v>
      </c>
      <c r="K8" s="25">
        <f>MowerSales[[#This Row],[Pacific]]/IndustryMowerSales[[#This Row],[Pac]]</f>
        <v>0.10299999999999999</v>
      </c>
      <c r="L8" s="25"/>
      <c r="M8" s="25">
        <f>MowerSales[[#This Row],[World]]/IndustryMowerSales[[#This Row],[World]]</f>
        <v>9.2260563576060189E-2</v>
      </c>
    </row>
    <row r="9" spans="1:13" x14ac:dyDescent="0.2">
      <c r="A9" s="27">
        <v>40391</v>
      </c>
      <c r="B9">
        <v>8140</v>
      </c>
      <c r="C9">
        <v>250</v>
      </c>
      <c r="D9">
        <v>1560</v>
      </c>
      <c r="E9">
        <v>130</v>
      </c>
      <c r="G9" s="1">
        <f>SUM(MowerSales[[#This Row],[NA]],MowerSales[[#This Row],[SA]],MowerSales[[#This Row],[Europe]],MowerSales[[#This Row],[Pacific]],MowerSales[[#This Row],[China]])</f>
        <v>10080</v>
      </c>
      <c r="H9" s="25">
        <f>MowerSales[[#This Row],[NA]]/IndustryMowerSales[[#This Row],[NA]]</f>
        <v>0.10199999999999999</v>
      </c>
      <c r="I9" s="25">
        <f>MowerSales[[#This Row],[SA]]/IndustryMowerSales[[#This Row],[SA]]</f>
        <v>0.34</v>
      </c>
      <c r="J9" s="25">
        <f>MowerSales[[#This Row],[Europe]]/IndustryMowerSales[[#This Row],[Eur]]</f>
        <v>5.5E-2</v>
      </c>
      <c r="K9" s="25">
        <f>MowerSales[[#This Row],[Pacific]]/IndustryMowerSales[[#This Row],[Pac]]</f>
        <v>0.105</v>
      </c>
      <c r="L9" s="25"/>
      <c r="M9" s="25">
        <f>MowerSales[[#This Row],[World]]/IndustryMowerSales[[#This Row],[World]]</f>
        <v>9.1519096650239801E-2</v>
      </c>
    </row>
    <row r="10" spans="1:13" x14ac:dyDescent="0.2">
      <c r="A10" s="27">
        <v>40422</v>
      </c>
      <c r="B10">
        <v>6480</v>
      </c>
      <c r="C10">
        <v>230</v>
      </c>
      <c r="D10">
        <v>1590</v>
      </c>
      <c r="E10">
        <v>130</v>
      </c>
      <c r="G10" s="1">
        <f>SUM(MowerSales[[#This Row],[NA]],MowerSales[[#This Row],[SA]],MowerSales[[#This Row],[Europe]],MowerSales[[#This Row],[Pacific]],MowerSales[[#This Row],[China]])</f>
        <v>8430</v>
      </c>
      <c r="H10" s="25">
        <f>MowerSales[[#This Row],[NA]]/IndustryMowerSales[[#This Row],[NA]]</f>
        <v>0.1</v>
      </c>
      <c r="I10" s="25">
        <f>MowerSales[[#This Row],[SA]]/IndustryMowerSales[[#This Row],[SA]]</f>
        <v>0.35</v>
      </c>
      <c r="J10" s="25">
        <f>MowerSales[[#This Row],[Europe]]/IndustryMowerSales[[#This Row],[Eur]]</f>
        <v>5.6000000000000001E-2</v>
      </c>
      <c r="K10" s="25">
        <f>MowerSales[[#This Row],[Pacific]]/IndustryMowerSales[[#This Row],[Pac]]</f>
        <v>0.10700000000000001</v>
      </c>
      <c r="L10" s="25"/>
      <c r="M10" s="25">
        <f>MowerSales[[#This Row],[World]]/IndustryMowerSales[[#This Row],[World]]</f>
        <v>8.8676212525621939E-2</v>
      </c>
    </row>
    <row r="11" spans="1:13" x14ac:dyDescent="0.2">
      <c r="A11" s="27">
        <v>40452</v>
      </c>
      <c r="B11">
        <v>5990</v>
      </c>
      <c r="C11">
        <v>220</v>
      </c>
      <c r="D11">
        <v>1320</v>
      </c>
      <c r="E11">
        <v>120</v>
      </c>
      <c r="G11" s="1">
        <f>SUM(MowerSales[[#This Row],[NA]],MowerSales[[#This Row],[SA]],MowerSales[[#This Row],[Europe]],MowerSales[[#This Row],[Pacific]],MowerSales[[#This Row],[China]])</f>
        <v>7650</v>
      </c>
      <c r="H11" s="25">
        <f>MowerSales[[#This Row],[NA]]/IndustryMowerSales[[#This Row],[NA]]</f>
        <v>0.10100000000000001</v>
      </c>
      <c r="I11" s="25">
        <f>MowerSales[[#This Row],[SA]]/IndustryMowerSales[[#This Row],[SA]]</f>
        <v>0.37</v>
      </c>
      <c r="J11" s="25">
        <f>MowerSales[[#This Row],[Europe]]/IndustryMowerSales[[#This Row],[Eur]]</f>
        <v>5.3999999999999999E-2</v>
      </c>
      <c r="K11" s="25">
        <f>MowerSales[[#This Row],[Pacific]]/IndustryMowerSales[[#This Row],[Pac]]</f>
        <v>0.10400000000000001</v>
      </c>
      <c r="L11" s="25"/>
      <c r="M11" s="25">
        <f>MowerSales[[#This Row],[World]]/IndustryMowerSales[[#This Row],[World]]</f>
        <v>8.9473876881841385E-2</v>
      </c>
    </row>
    <row r="12" spans="1:13" x14ac:dyDescent="0.2">
      <c r="A12" s="27">
        <v>40483</v>
      </c>
      <c r="B12">
        <v>5320</v>
      </c>
      <c r="C12">
        <v>210</v>
      </c>
      <c r="D12">
        <v>990</v>
      </c>
      <c r="E12">
        <v>130</v>
      </c>
      <c r="G12" s="1">
        <f>SUM(MowerSales[[#This Row],[NA]],MowerSales[[#This Row],[SA]],MowerSales[[#This Row],[Europe]],MowerSales[[#This Row],[Pacific]],MowerSales[[#This Row],[China]])</f>
        <v>6650</v>
      </c>
      <c r="H12" s="25">
        <f>MowerSales[[#This Row],[NA]]/IndustryMowerSales[[#This Row],[NA]]</f>
        <v>0.10199999999999999</v>
      </c>
      <c r="I12" s="25">
        <f>MowerSales[[#This Row],[SA]]/IndustryMowerSales[[#This Row],[SA]]</f>
        <v>0.38</v>
      </c>
      <c r="J12" s="25">
        <f>MowerSales[[#This Row],[Europe]]/IndustryMowerSales[[#This Row],[Eur]]</f>
        <v>5.5E-2</v>
      </c>
      <c r="K12" s="25">
        <f>MowerSales[[#This Row],[Pacific]]/IndustryMowerSales[[#This Row],[Pac]]</f>
        <v>0.10299999999999999</v>
      </c>
      <c r="L12" s="25"/>
      <c r="M12" s="25">
        <f>MowerSales[[#This Row],[World]]/IndustryMowerSales[[#This Row],[World]]</f>
        <v>9.2397517983620989E-2</v>
      </c>
    </row>
    <row r="13" spans="1:13" x14ac:dyDescent="0.2">
      <c r="A13" s="27">
        <v>40513</v>
      </c>
      <c r="B13">
        <v>4640</v>
      </c>
      <c r="C13">
        <v>180</v>
      </c>
      <c r="D13">
        <v>660</v>
      </c>
      <c r="E13">
        <v>140</v>
      </c>
      <c r="G13" s="1">
        <f>SUM(MowerSales[[#This Row],[NA]],MowerSales[[#This Row],[SA]],MowerSales[[#This Row],[Europe]],MowerSales[[#This Row],[Pacific]],MowerSales[[#This Row],[China]])</f>
        <v>5620</v>
      </c>
      <c r="H13" s="25">
        <f>MowerSales[[#This Row],[NA]]/IndustryMowerSales[[#This Row],[NA]]</f>
        <v>0.10300000000000001</v>
      </c>
      <c r="I13" s="25">
        <f>MowerSales[[#This Row],[SA]]/IndustryMowerSales[[#This Row],[SA]]</f>
        <v>0.39</v>
      </c>
      <c r="J13" s="25">
        <f>MowerSales[[#This Row],[Europe]]/IndustryMowerSales[[#This Row],[Eur]]</f>
        <v>5.2999999999999999E-2</v>
      </c>
      <c r="K13" s="25">
        <f>MowerSales[[#This Row],[Pacific]]/IndustryMowerSales[[#This Row],[Pac]]</f>
        <v>0.10099999999999999</v>
      </c>
      <c r="L13" s="25"/>
      <c r="M13" s="25">
        <f>MowerSales[[#This Row],[World]]/IndustryMowerSales[[#This Row],[World]]</f>
        <v>9.4694016327452141E-2</v>
      </c>
    </row>
    <row r="14" spans="1:13" x14ac:dyDescent="0.2">
      <c r="A14" s="27">
        <v>40544</v>
      </c>
      <c r="B14">
        <v>5980</v>
      </c>
      <c r="C14">
        <v>210</v>
      </c>
      <c r="D14">
        <v>690</v>
      </c>
      <c r="E14">
        <v>140</v>
      </c>
      <c r="G14" s="1">
        <f>SUM(MowerSales[[#This Row],[NA]],MowerSales[[#This Row],[SA]],MowerSales[[#This Row],[Europe]],MowerSales[[#This Row],[Pacific]],MowerSales[[#This Row],[China]])</f>
        <v>7020</v>
      </c>
      <c r="H14" s="25">
        <f>MowerSales[[#This Row],[NA]]/IndustryMowerSales[[#This Row],[NA]]</f>
        <v>0.10199999999999999</v>
      </c>
      <c r="I14" s="25">
        <f>MowerSales[[#This Row],[SA]]/IndustryMowerSales[[#This Row],[SA]]</f>
        <v>0.38</v>
      </c>
      <c r="J14" s="25">
        <f>MowerSales[[#This Row],[Europe]]/IndustryMowerSales[[#This Row],[Eur]]</f>
        <v>5.3999999999999999E-2</v>
      </c>
      <c r="K14" s="25">
        <f>MowerSales[[#This Row],[Pacific]]/IndustryMowerSales[[#This Row],[Pac]]</f>
        <v>9.7000000000000003E-2</v>
      </c>
      <c r="L14" s="25"/>
      <c r="M14" s="25">
        <f>MowerSales[[#This Row],[World]]/IndustryMowerSales[[#This Row],[World]]</f>
        <v>9.5638816421364709E-2</v>
      </c>
    </row>
    <row r="15" spans="1:13" x14ac:dyDescent="0.2">
      <c r="A15" s="27">
        <v>40575</v>
      </c>
      <c r="B15">
        <v>7620</v>
      </c>
      <c r="C15">
        <v>240</v>
      </c>
      <c r="D15">
        <v>1020</v>
      </c>
      <c r="E15">
        <v>150</v>
      </c>
      <c r="G15" s="1">
        <f>SUM(MowerSales[[#This Row],[NA]],MowerSales[[#This Row],[SA]],MowerSales[[#This Row],[Europe]],MowerSales[[#This Row],[Pacific]],MowerSales[[#This Row],[China]])</f>
        <v>9030</v>
      </c>
      <c r="H15" s="25">
        <f>MowerSales[[#This Row],[NA]]/IndustryMowerSales[[#This Row],[NA]]</f>
        <v>0.1</v>
      </c>
      <c r="I15" s="25">
        <f>MowerSales[[#This Row],[SA]]/IndustryMowerSales[[#This Row],[SA]]</f>
        <v>0.39</v>
      </c>
      <c r="J15" s="25">
        <f>MowerSales[[#This Row],[Europe]]/IndustryMowerSales[[#This Row],[Eur]]</f>
        <v>5.6000000000000001E-2</v>
      </c>
      <c r="K15" s="25">
        <f>MowerSales[[#This Row],[Pacific]]/IndustryMowerSales[[#This Row],[Pac]]</f>
        <v>9.9000000000000005E-2</v>
      </c>
      <c r="L15" s="25"/>
      <c r="M15" s="25">
        <f>MowerSales[[#This Row],[World]]/IndustryMowerSales[[#This Row],[World]]</f>
        <v>9.3531686396543107E-2</v>
      </c>
    </row>
    <row r="16" spans="1:13" x14ac:dyDescent="0.2">
      <c r="A16" s="27">
        <v>40603</v>
      </c>
      <c r="B16">
        <v>8370</v>
      </c>
      <c r="C16">
        <v>250</v>
      </c>
      <c r="D16">
        <v>1290</v>
      </c>
      <c r="E16">
        <v>140</v>
      </c>
      <c r="G16" s="1">
        <f>SUM(MowerSales[[#This Row],[NA]],MowerSales[[#This Row],[SA]],MowerSales[[#This Row],[Europe]],MowerSales[[#This Row],[Pacific]],MowerSales[[#This Row],[China]])</f>
        <v>10050</v>
      </c>
      <c r="H16" s="25">
        <f>MowerSales[[#This Row],[NA]]/IndustryMowerSales[[#This Row],[NA]]</f>
        <v>0.10100000000000001</v>
      </c>
      <c r="I16" s="25">
        <f>MowerSales[[#This Row],[SA]]/IndustryMowerSales[[#This Row],[SA]]</f>
        <v>0.38000000000000006</v>
      </c>
      <c r="J16" s="25">
        <f>MowerSales[[#This Row],[Europe]]/IndustryMowerSales[[#This Row],[Eur]]</f>
        <v>5.3999999999999999E-2</v>
      </c>
      <c r="K16" s="25">
        <f>MowerSales[[#This Row],[Pacific]]/IndustryMowerSales[[#This Row],[Pac]]</f>
        <v>0.10199999999999998</v>
      </c>
      <c r="L16" s="25"/>
      <c r="M16" s="25">
        <f>MowerSales[[#This Row],[World]]/IndustryMowerSales[[#This Row],[World]]</f>
        <v>9.2379288038554636E-2</v>
      </c>
    </row>
    <row r="17" spans="1:13" x14ac:dyDescent="0.2">
      <c r="A17" s="27">
        <v>40634</v>
      </c>
      <c r="B17">
        <v>8830</v>
      </c>
      <c r="C17">
        <v>290</v>
      </c>
      <c r="D17">
        <v>1620</v>
      </c>
      <c r="E17">
        <v>150</v>
      </c>
      <c r="G17" s="1">
        <f>SUM(MowerSales[[#This Row],[NA]],MowerSales[[#This Row],[SA]],MowerSales[[#This Row],[Europe]],MowerSales[[#This Row],[Pacific]],MowerSales[[#This Row],[China]])</f>
        <v>10890</v>
      </c>
      <c r="H17" s="25">
        <f>MowerSales[[#This Row],[NA]]/IndustryMowerSales[[#This Row],[NA]]</f>
        <v>0.104</v>
      </c>
      <c r="I17" s="25">
        <f>MowerSales[[#This Row],[SA]]/IndustryMowerSales[[#This Row],[SA]]</f>
        <v>0.37</v>
      </c>
      <c r="J17" s="25">
        <f>MowerSales[[#This Row],[Europe]]/IndustryMowerSales[[#This Row],[Eur]]</f>
        <v>5.5E-2</v>
      </c>
      <c r="K17" s="25">
        <f>MowerSales[[#This Row],[Pacific]]/IndustryMowerSales[[#This Row],[Pac]]</f>
        <v>0.104</v>
      </c>
      <c r="L17" s="25"/>
      <c r="M17" s="25">
        <f>MowerSales[[#This Row],[World]]/IndustryMowerSales[[#This Row],[World]]</f>
        <v>9.3408657068956152E-2</v>
      </c>
    </row>
    <row r="18" spans="1:13" x14ac:dyDescent="0.2">
      <c r="A18" s="27">
        <v>40664</v>
      </c>
      <c r="B18">
        <v>9310</v>
      </c>
      <c r="C18">
        <v>330</v>
      </c>
      <c r="D18">
        <v>1650</v>
      </c>
      <c r="E18">
        <v>130</v>
      </c>
      <c r="G18" s="1">
        <f>SUM(MowerSales[[#This Row],[NA]],MowerSales[[#This Row],[SA]],MowerSales[[#This Row],[Europe]],MowerSales[[#This Row],[Pacific]],MowerSales[[#This Row],[China]])</f>
        <v>11420</v>
      </c>
      <c r="H18" s="25">
        <f>MowerSales[[#This Row],[NA]]/IndustryMowerSales[[#This Row],[NA]]</f>
        <v>0.1</v>
      </c>
      <c r="I18" s="25">
        <f>MowerSales[[#This Row],[SA]]/IndustryMowerSales[[#This Row],[SA]]</f>
        <v>0.39</v>
      </c>
      <c r="J18" s="25">
        <f>MowerSales[[#This Row],[Europe]]/IndustryMowerSales[[#This Row],[Eur]]</f>
        <v>5.6000000000000001E-2</v>
      </c>
      <c r="K18" s="25">
        <f>MowerSales[[#This Row],[Pacific]]/IndustryMowerSales[[#This Row],[Pac]]</f>
        <v>0.10700000000000001</v>
      </c>
      <c r="L18" s="25"/>
      <c r="M18" s="25">
        <f>MowerSales[[#This Row],[World]]/IndustryMowerSales[[#This Row],[World]]</f>
        <v>9.1634615871930711E-2</v>
      </c>
    </row>
    <row r="19" spans="1:13" x14ac:dyDescent="0.2">
      <c r="A19" s="27">
        <v>40695</v>
      </c>
      <c r="B19">
        <v>10230</v>
      </c>
      <c r="C19">
        <v>310</v>
      </c>
      <c r="D19">
        <v>1590</v>
      </c>
      <c r="E19">
        <v>140</v>
      </c>
      <c r="G19" s="1">
        <f>SUM(MowerSales[[#This Row],[NA]],MowerSales[[#This Row],[SA]],MowerSales[[#This Row],[Europe]],MowerSales[[#This Row],[Pacific]],MowerSales[[#This Row],[China]])</f>
        <v>12270</v>
      </c>
      <c r="H19" s="25">
        <f>MowerSales[[#This Row],[NA]]/IndustryMowerSales[[#This Row],[NA]]</f>
        <v>0.11</v>
      </c>
      <c r="I19" s="25">
        <f>MowerSales[[#This Row],[SA]]/IndustryMowerSales[[#This Row],[SA]]</f>
        <v>0.37</v>
      </c>
      <c r="J19" s="25">
        <f>MowerSales[[#This Row],[Europe]]/IndustryMowerSales[[#This Row],[Eur]]</f>
        <v>5.8000000000000003E-2</v>
      </c>
      <c r="K19" s="25">
        <f>MowerSales[[#This Row],[Pacific]]/IndustryMowerSales[[#This Row],[Pac]]</f>
        <v>0.10499999999999998</v>
      </c>
      <c r="L19" s="25"/>
      <c r="M19" s="25">
        <f>MowerSales[[#This Row],[World]]/IndustryMowerSales[[#This Row],[World]]</f>
        <v>0.10009384162736537</v>
      </c>
    </row>
    <row r="20" spans="1:13" x14ac:dyDescent="0.2">
      <c r="A20" s="27">
        <v>40725</v>
      </c>
      <c r="B20">
        <v>8720</v>
      </c>
      <c r="C20">
        <v>290</v>
      </c>
      <c r="D20">
        <v>1560</v>
      </c>
      <c r="E20">
        <v>150</v>
      </c>
      <c r="G20" s="1">
        <f>SUM(MowerSales[[#This Row],[NA]],MowerSales[[#This Row],[SA]],MowerSales[[#This Row],[Europe]],MowerSales[[#This Row],[Pacific]],MowerSales[[#This Row],[China]])</f>
        <v>10720</v>
      </c>
      <c r="H20" s="25">
        <f>MowerSales[[#This Row],[NA]]/IndustryMowerSales[[#This Row],[NA]]</f>
        <v>0.105</v>
      </c>
      <c r="I20" s="25">
        <f>MowerSales[[#This Row],[SA]]/IndustryMowerSales[[#This Row],[SA]]</f>
        <v>0.38</v>
      </c>
      <c r="J20" s="25">
        <f>MowerSales[[#This Row],[Europe]]/IndustryMowerSales[[#This Row],[Eur]]</f>
        <v>5.7000000000000002E-2</v>
      </c>
      <c r="K20" s="25">
        <f>MowerSales[[#This Row],[Pacific]]/IndustryMowerSales[[#This Row],[Pac]]</f>
        <v>0.10599999999999998</v>
      </c>
      <c r="L20" s="25"/>
      <c r="M20" s="25">
        <f>MowerSales[[#This Row],[World]]/IndustryMowerSales[[#This Row],[World]]</f>
        <v>9.5209089001972474E-2</v>
      </c>
    </row>
    <row r="21" spans="1:13" x14ac:dyDescent="0.2">
      <c r="A21" s="27">
        <v>40756</v>
      </c>
      <c r="B21">
        <v>7710</v>
      </c>
      <c r="C21">
        <v>270</v>
      </c>
      <c r="D21">
        <v>1530</v>
      </c>
      <c r="E21">
        <v>140</v>
      </c>
      <c r="G21" s="1">
        <f>SUM(MowerSales[[#This Row],[NA]],MowerSales[[#This Row],[SA]],MowerSales[[#This Row],[Europe]],MowerSales[[#This Row],[Pacific]],MowerSales[[#This Row],[China]])</f>
        <v>9650</v>
      </c>
      <c r="H21" s="25">
        <f>MowerSales[[#This Row],[NA]]/IndustryMowerSales[[#This Row],[NA]]</f>
        <v>0.10299999999999999</v>
      </c>
      <c r="I21" s="25">
        <f>MowerSales[[#This Row],[SA]]/IndustryMowerSales[[#This Row],[SA]]</f>
        <v>0.38904899135446686</v>
      </c>
      <c r="J21" s="25">
        <f>MowerSales[[#This Row],[Europe]]/IndustryMowerSales[[#This Row],[Eur]]</f>
        <v>5.6000000000000001E-2</v>
      </c>
      <c r="K21" s="25">
        <f>MowerSales[[#This Row],[Pacific]]/IndustryMowerSales[[#This Row],[Pac]]</f>
        <v>0.108</v>
      </c>
      <c r="L21" s="25"/>
      <c r="M21" s="25">
        <f>MowerSales[[#This Row],[World]]/IndustryMowerSales[[#This Row],[World]]</f>
        <v>9.2642014563243294E-2</v>
      </c>
    </row>
    <row r="22" spans="1:13" x14ac:dyDescent="0.2">
      <c r="A22" s="27">
        <v>40787</v>
      </c>
      <c r="B22">
        <v>6320</v>
      </c>
      <c r="C22">
        <v>250</v>
      </c>
      <c r="D22">
        <v>1590</v>
      </c>
      <c r="E22">
        <v>150</v>
      </c>
      <c r="G22" s="1">
        <f>SUM(MowerSales[[#This Row],[NA]],MowerSales[[#This Row],[SA]],MowerSales[[#This Row],[Europe]],MowerSales[[#This Row],[Pacific]],MowerSales[[#This Row],[China]])</f>
        <v>8310</v>
      </c>
      <c r="H22" s="25">
        <f>MowerSales[[#This Row],[NA]]/IndustryMowerSales[[#This Row],[NA]]</f>
        <v>0.104</v>
      </c>
      <c r="I22" s="25">
        <f>MowerSales[[#This Row],[SA]]/IndustryMowerSales[[#This Row],[SA]]</f>
        <v>0.4</v>
      </c>
      <c r="J22" s="25">
        <f>MowerSales[[#This Row],[Europe]]/IndustryMowerSales[[#This Row],[Eur]]</f>
        <v>5.3999999999999999E-2</v>
      </c>
      <c r="K22" s="25">
        <f>MowerSales[[#This Row],[Pacific]]/IndustryMowerSales[[#This Row],[Pac]]</f>
        <v>0.107</v>
      </c>
      <c r="L22" s="25"/>
      <c r="M22" s="25">
        <f>MowerSales[[#This Row],[World]]/IndustryMowerSales[[#This Row],[World]]</f>
        <v>9.0090535095244409E-2</v>
      </c>
    </row>
    <row r="23" spans="1:13" x14ac:dyDescent="0.2">
      <c r="A23" s="27">
        <v>40817</v>
      </c>
      <c r="B23">
        <v>5840</v>
      </c>
      <c r="C23">
        <v>250</v>
      </c>
      <c r="D23">
        <v>1260</v>
      </c>
      <c r="E23">
        <v>160</v>
      </c>
      <c r="G23" s="1">
        <f>SUM(MowerSales[[#This Row],[NA]],MowerSales[[#This Row],[SA]],MowerSales[[#This Row],[Europe]],MowerSales[[#This Row],[Pacific]],MowerSales[[#This Row],[China]])</f>
        <v>7510</v>
      </c>
      <c r="H23" s="25">
        <f>MowerSales[[#This Row],[NA]]/IndustryMowerSales[[#This Row],[NA]]</f>
        <v>0.105</v>
      </c>
      <c r="I23" s="25">
        <f>MowerSales[[#This Row],[SA]]/IndustryMowerSales[[#This Row],[SA]]</f>
        <v>0.41000000000000003</v>
      </c>
      <c r="J23" s="25">
        <f>MowerSales[[#This Row],[Europe]]/IndustryMowerSales[[#This Row],[Eur]]</f>
        <v>5.2999999999999999E-2</v>
      </c>
      <c r="K23" s="25">
        <f>MowerSales[[#This Row],[Pacific]]/IndustryMowerSales[[#This Row],[Pac]]</f>
        <v>0.109</v>
      </c>
      <c r="L23" s="25"/>
      <c r="M23" s="25">
        <f>MowerSales[[#This Row],[World]]/IndustryMowerSales[[#This Row],[World]]</f>
        <v>9.2180855834267217E-2</v>
      </c>
    </row>
    <row r="24" spans="1:13" x14ac:dyDescent="0.2">
      <c r="A24" s="27">
        <v>40848</v>
      </c>
      <c r="B24">
        <v>4960</v>
      </c>
      <c r="C24">
        <v>240</v>
      </c>
      <c r="D24">
        <v>900</v>
      </c>
      <c r="E24">
        <v>150</v>
      </c>
      <c r="G24" s="1">
        <f>SUM(MowerSales[[#This Row],[NA]],MowerSales[[#This Row],[SA]],MowerSales[[#This Row],[Europe]],MowerSales[[#This Row],[Pacific]],MowerSales[[#This Row],[China]])</f>
        <v>6250</v>
      </c>
      <c r="H24" s="25">
        <f>MowerSales[[#This Row],[NA]]/IndustryMowerSales[[#This Row],[NA]]</f>
        <v>0.10299999999999999</v>
      </c>
      <c r="I24" s="25">
        <f>MowerSales[[#This Row],[SA]]/IndustryMowerSales[[#This Row],[SA]]</f>
        <v>0.42</v>
      </c>
      <c r="J24" s="25">
        <f>MowerSales[[#This Row],[Europe]]/IndustryMowerSales[[#This Row],[Eur]]</f>
        <v>5.1999999999999998E-2</v>
      </c>
      <c r="K24" s="25">
        <f>MowerSales[[#This Row],[Pacific]]/IndustryMowerSales[[#This Row],[Pac]]</f>
        <v>0.11100000000000002</v>
      </c>
      <c r="L24" s="25"/>
      <c r="M24" s="25">
        <f>MowerSales[[#This Row],[World]]/IndustryMowerSales[[#This Row],[World]]</f>
        <v>9.2749494457875309E-2</v>
      </c>
    </row>
    <row r="25" spans="1:13" x14ac:dyDescent="0.2">
      <c r="A25" s="27">
        <v>40878</v>
      </c>
      <c r="B25">
        <v>4350</v>
      </c>
      <c r="C25">
        <v>210</v>
      </c>
      <c r="D25">
        <v>660</v>
      </c>
      <c r="E25">
        <v>150</v>
      </c>
      <c r="G25" s="1">
        <f>SUM(MowerSales[[#This Row],[NA]],MowerSales[[#This Row],[SA]],MowerSales[[#This Row],[Europe]],MowerSales[[#This Row],[Pacific]],MowerSales[[#This Row],[China]])</f>
        <v>5370</v>
      </c>
      <c r="H25" s="25">
        <f>MowerSales[[#This Row],[NA]]/IndustryMowerSales[[#This Row],[NA]]</f>
        <v>0.10199999999999999</v>
      </c>
      <c r="I25" s="25">
        <f>MowerSales[[#This Row],[SA]]/IndustryMowerSales[[#This Row],[SA]]</f>
        <v>0.41</v>
      </c>
      <c r="J25" s="25">
        <f>MowerSales[[#This Row],[Europe]]/IndustryMowerSales[[#This Row],[Eur]]</f>
        <v>5.0999999999999997E-2</v>
      </c>
      <c r="K25" s="25">
        <f>MowerSales[[#This Row],[Pacific]]/IndustryMowerSales[[#This Row],[Pac]]</f>
        <v>0.108</v>
      </c>
      <c r="L25" s="25"/>
      <c r="M25" s="25">
        <f>MowerSales[[#This Row],[World]]/IndustryMowerSales[[#This Row],[World]]</f>
        <v>9.3408655119297995E-2</v>
      </c>
    </row>
    <row r="26" spans="1:13" x14ac:dyDescent="0.2">
      <c r="A26" s="27">
        <v>40909</v>
      </c>
      <c r="B26">
        <v>6020</v>
      </c>
      <c r="C26">
        <v>220</v>
      </c>
      <c r="D26">
        <v>570</v>
      </c>
      <c r="E26">
        <v>160</v>
      </c>
      <c r="G26" s="1">
        <f>SUM(MowerSales[[#This Row],[NA]],MowerSales[[#This Row],[SA]],MowerSales[[#This Row],[Europe]],MowerSales[[#This Row],[Pacific]],MowerSales[[#This Row],[China]])</f>
        <v>6970</v>
      </c>
      <c r="H26" s="25">
        <f>MowerSales[[#This Row],[NA]]/IndustryMowerSales[[#This Row],[NA]]</f>
        <v>0.104</v>
      </c>
      <c r="I26" s="25">
        <f>MowerSales[[#This Row],[SA]]/IndustryMowerSales[[#This Row],[SA]]</f>
        <v>0.41</v>
      </c>
      <c r="J26" s="25">
        <f>MowerSales[[#This Row],[Europe]]/IndustryMowerSales[[#This Row],[Eur]]</f>
        <v>5.1999999999999991E-2</v>
      </c>
      <c r="K26" s="25">
        <f>MowerSales[[#This Row],[Pacific]]/IndustryMowerSales[[#This Row],[Pac]]</f>
        <v>0.106</v>
      </c>
      <c r="L26" s="25"/>
      <c r="M26" s="25">
        <f>MowerSales[[#This Row],[World]]/IndustryMowerSales[[#This Row],[World]]</f>
        <v>9.8318328919976841E-2</v>
      </c>
    </row>
    <row r="27" spans="1:13" x14ac:dyDescent="0.2">
      <c r="A27" s="27">
        <v>40940</v>
      </c>
      <c r="B27">
        <v>7920</v>
      </c>
      <c r="C27">
        <v>250</v>
      </c>
      <c r="D27">
        <v>840</v>
      </c>
      <c r="E27">
        <v>150</v>
      </c>
      <c r="G27" s="1">
        <f>SUM(MowerSales[[#This Row],[NA]],MowerSales[[#This Row],[SA]],MowerSales[[#This Row],[Europe]],MowerSales[[#This Row],[Pacific]],MowerSales[[#This Row],[China]])</f>
        <v>9160</v>
      </c>
      <c r="H27" s="25">
        <f>MowerSales[[#This Row],[NA]]/IndustryMowerSales[[#This Row],[NA]]</f>
        <v>0.10199999999999999</v>
      </c>
      <c r="I27" s="25">
        <f>MowerSales[[#This Row],[SA]]/IndustryMowerSales[[#This Row],[SA]]</f>
        <v>0.42</v>
      </c>
      <c r="J27" s="25">
        <f>MowerSales[[#This Row],[Europe]]/IndustryMowerSales[[#This Row],[Eur]]</f>
        <v>5.5E-2</v>
      </c>
      <c r="K27" s="25">
        <f>MowerSales[[#This Row],[Pacific]]/IndustryMowerSales[[#This Row],[Pac]]</f>
        <v>0.107</v>
      </c>
      <c r="L27" s="25"/>
      <c r="M27" s="25">
        <f>MowerSales[[#This Row],[World]]/IndustryMowerSales[[#This Row],[World]]</f>
        <v>9.6505476282152017E-2</v>
      </c>
    </row>
    <row r="28" spans="1:13" x14ac:dyDescent="0.2">
      <c r="A28" s="27">
        <v>40969</v>
      </c>
      <c r="B28">
        <v>8430</v>
      </c>
      <c r="C28">
        <v>270</v>
      </c>
      <c r="D28">
        <v>1110</v>
      </c>
      <c r="E28">
        <v>160</v>
      </c>
      <c r="G28" s="1">
        <f>SUM(MowerSales[[#This Row],[NA]],MowerSales[[#This Row],[SA]],MowerSales[[#This Row],[Europe]],MowerSales[[#This Row],[Pacific]],MowerSales[[#This Row],[China]])</f>
        <v>9970</v>
      </c>
      <c r="H28" s="25">
        <f>MowerSales[[#This Row],[NA]]/IndustryMowerSales[[#This Row],[NA]]</f>
        <v>0.10299999999999999</v>
      </c>
      <c r="I28" s="25">
        <f>MowerSales[[#This Row],[SA]]/IndustryMowerSales[[#This Row],[SA]]</f>
        <v>0.41</v>
      </c>
      <c r="J28" s="25">
        <f>MowerSales[[#This Row],[Europe]]/IndustryMowerSales[[#This Row],[Eur]]</f>
        <v>5.3999999999999999E-2</v>
      </c>
      <c r="K28" s="25">
        <f>MowerSales[[#This Row],[Pacific]]/IndustryMowerSales[[#This Row],[Pac]]</f>
        <v>0.105</v>
      </c>
      <c r="L28" s="25"/>
      <c r="M28" s="25">
        <f>MowerSales[[#This Row],[World]]/IndustryMowerSales[[#This Row],[World]]</f>
        <v>9.5331380516865835E-2</v>
      </c>
    </row>
    <row r="29" spans="1:13" x14ac:dyDescent="0.2">
      <c r="A29" s="27">
        <v>41000</v>
      </c>
      <c r="B29">
        <v>9040</v>
      </c>
      <c r="C29">
        <v>310</v>
      </c>
      <c r="D29">
        <v>1500</v>
      </c>
      <c r="E29">
        <v>170</v>
      </c>
      <c r="G29" s="1">
        <f>SUM(MowerSales[[#This Row],[NA]],MowerSales[[#This Row],[SA]],MowerSales[[#This Row],[Europe]],MowerSales[[#This Row],[Pacific]],MowerSales[[#This Row],[China]])</f>
        <v>11020</v>
      </c>
      <c r="H29" s="25">
        <f>MowerSales[[#This Row],[NA]]/IndustryMowerSales[[#This Row],[NA]]</f>
        <v>0.10500000000000001</v>
      </c>
      <c r="I29" s="25">
        <f>MowerSales[[#This Row],[SA]]/IndustryMowerSales[[#This Row],[SA]]</f>
        <v>0.41</v>
      </c>
      <c r="J29" s="25">
        <f>MowerSales[[#This Row],[Europe]]/IndustryMowerSales[[#This Row],[Eur]]</f>
        <v>5.6000000000000001E-2</v>
      </c>
      <c r="K29" s="25">
        <f>MowerSales[[#This Row],[Pacific]]/IndustryMowerSales[[#This Row],[Pac]]</f>
        <v>0.108</v>
      </c>
      <c r="L29" s="25"/>
      <c r="M29" s="25">
        <f>MowerSales[[#This Row],[World]]/IndustryMowerSales[[#This Row],[World]]</f>
        <v>9.5650485958885312E-2</v>
      </c>
    </row>
    <row r="30" spans="1:13" x14ac:dyDescent="0.2">
      <c r="A30" s="27">
        <v>41030</v>
      </c>
      <c r="B30">
        <v>9820</v>
      </c>
      <c r="C30">
        <v>360</v>
      </c>
      <c r="D30">
        <v>1440</v>
      </c>
      <c r="E30">
        <v>160</v>
      </c>
      <c r="G30" s="1">
        <f>SUM(MowerSales[[#This Row],[NA]],MowerSales[[#This Row],[SA]],MowerSales[[#This Row],[Europe]],MowerSales[[#This Row],[Pacific]],MowerSales[[#This Row],[China]])</f>
        <v>11780</v>
      </c>
      <c r="H30" s="25">
        <f>MowerSales[[#This Row],[NA]]/IndustryMowerSales[[#This Row],[NA]]</f>
        <v>0.107</v>
      </c>
      <c r="I30" s="25">
        <f>MowerSales[[#This Row],[SA]]/IndustryMowerSales[[#This Row],[SA]]</f>
        <v>0.41</v>
      </c>
      <c r="J30" s="25">
        <f>MowerSales[[#This Row],[Europe]]/IndustryMowerSales[[#This Row],[Eur]]</f>
        <v>5.8000000000000003E-2</v>
      </c>
      <c r="K30" s="25">
        <f>MowerSales[[#This Row],[Pacific]]/IndustryMowerSales[[#This Row],[Pac]]</f>
        <v>0.109</v>
      </c>
      <c r="L30" s="25"/>
      <c r="M30" s="25">
        <f>MowerSales[[#This Row],[World]]/IndustryMowerSales[[#This Row],[World]]</f>
        <v>9.9033851778185591E-2</v>
      </c>
    </row>
    <row r="31" spans="1:13" x14ac:dyDescent="0.2">
      <c r="A31" s="27">
        <v>41061</v>
      </c>
      <c r="B31">
        <v>10370</v>
      </c>
      <c r="C31">
        <v>330</v>
      </c>
      <c r="D31">
        <v>1410</v>
      </c>
      <c r="E31">
        <v>170</v>
      </c>
      <c r="G31" s="1">
        <f>SUM(MowerSales[[#This Row],[NA]],MowerSales[[#This Row],[SA]],MowerSales[[#This Row],[Europe]],MowerSales[[#This Row],[Pacific]],MowerSales[[#This Row],[China]])</f>
        <v>12280</v>
      </c>
      <c r="H31" s="25">
        <f>MowerSales[[#This Row],[NA]]/IndustryMowerSales[[#This Row],[NA]]</f>
        <v>0.10299999999999999</v>
      </c>
      <c r="I31" s="25">
        <f>MowerSales[[#This Row],[SA]]/IndustryMowerSales[[#This Row],[SA]]</f>
        <v>0.4</v>
      </c>
      <c r="J31" s="25">
        <f>MowerSales[[#This Row],[Europe]]/IndustryMowerSales[[#This Row],[Eur]]</f>
        <v>5.7000000000000002E-2</v>
      </c>
      <c r="K31" s="25">
        <f>MowerSales[[#This Row],[Pacific]]/IndustryMowerSales[[#This Row],[Pac]]</f>
        <v>0.10899999999999999</v>
      </c>
      <c r="L31" s="25"/>
      <c r="M31" s="25">
        <f>MowerSales[[#This Row],[World]]/IndustryMowerSales[[#This Row],[World]]</f>
        <v>9.60868198313896E-2</v>
      </c>
    </row>
    <row r="32" spans="1:13" x14ac:dyDescent="0.2">
      <c r="A32" s="27">
        <v>41091</v>
      </c>
      <c r="B32">
        <v>9050</v>
      </c>
      <c r="C32">
        <v>310</v>
      </c>
      <c r="D32">
        <v>1440</v>
      </c>
      <c r="E32">
        <v>160</v>
      </c>
      <c r="G32" s="1">
        <f>SUM(MowerSales[[#This Row],[NA]],MowerSales[[#This Row],[SA]],MowerSales[[#This Row],[Europe]],MowerSales[[#This Row],[Pacific]],MowerSales[[#This Row],[China]])</f>
        <v>10960</v>
      </c>
      <c r="H32" s="25">
        <f>MowerSales[[#This Row],[NA]]/IndustryMowerSales[[#This Row],[NA]]</f>
        <v>0.105</v>
      </c>
      <c r="I32" s="25">
        <f>MowerSales[[#This Row],[SA]]/IndustryMowerSales[[#This Row],[SA]]</f>
        <v>0.41</v>
      </c>
      <c r="J32" s="25">
        <f>MowerSales[[#This Row],[Europe]]/IndustryMowerSales[[#This Row],[Eur]]</f>
        <v>5.8000000000000003E-2</v>
      </c>
      <c r="K32" s="25">
        <f>MowerSales[[#This Row],[Pacific]]/IndustryMowerSales[[#This Row],[Pac]]</f>
        <v>0.111</v>
      </c>
      <c r="L32" s="25"/>
      <c r="M32" s="25">
        <f>MowerSales[[#This Row],[World]]/IndustryMowerSales[[#This Row],[World]]</f>
        <v>9.6806445971149957E-2</v>
      </c>
    </row>
    <row r="33" spans="1:25" x14ac:dyDescent="0.2">
      <c r="A33" s="27">
        <v>41122</v>
      </c>
      <c r="B33">
        <v>7620</v>
      </c>
      <c r="C33">
        <v>300</v>
      </c>
      <c r="D33">
        <v>1410</v>
      </c>
      <c r="E33">
        <v>170</v>
      </c>
      <c r="G33" s="1">
        <f>SUM(MowerSales[[#This Row],[NA]],MowerSales[[#This Row],[SA]],MowerSales[[#This Row],[Europe]],MowerSales[[#This Row],[Pacific]],MowerSales[[#This Row],[China]])</f>
        <v>9500</v>
      </c>
      <c r="H33" s="25">
        <f>MowerSales[[#This Row],[NA]]/IndustryMowerSales[[#This Row],[NA]]</f>
        <v>0.10599999999999998</v>
      </c>
      <c r="I33" s="25">
        <f>MowerSales[[#This Row],[SA]]/IndustryMowerSales[[#This Row],[SA]]</f>
        <v>0.42</v>
      </c>
      <c r="J33" s="25">
        <f>MowerSales[[#This Row],[Europe]]/IndustryMowerSales[[#This Row],[Eur]]</f>
        <v>5.6000000000000001E-2</v>
      </c>
      <c r="K33" s="25">
        <f>MowerSales[[#This Row],[Pacific]]/IndustryMowerSales[[#This Row],[Pac]]</f>
        <v>0.11</v>
      </c>
      <c r="L33" s="25"/>
      <c r="M33" s="25">
        <f>MowerSales[[#This Row],[World]]/IndustryMowerSales[[#This Row],[World]]</f>
        <v>9.564550756977222E-2</v>
      </c>
    </row>
    <row r="34" spans="1:25" x14ac:dyDescent="0.2">
      <c r="A34" s="27">
        <v>41153</v>
      </c>
      <c r="B34">
        <v>6420</v>
      </c>
      <c r="C34">
        <v>280</v>
      </c>
      <c r="D34">
        <v>1350</v>
      </c>
      <c r="E34">
        <v>180</v>
      </c>
      <c r="G34" s="1">
        <f>SUM(MowerSales[[#This Row],[NA]],MowerSales[[#This Row],[SA]],MowerSales[[#This Row],[Europe]],MowerSales[[#This Row],[Pacific]],MowerSales[[#This Row],[China]])</f>
        <v>8230</v>
      </c>
      <c r="H34" s="25">
        <f>MowerSales[[#This Row],[NA]]/IndustryMowerSales[[#This Row],[NA]]</f>
        <v>0.107</v>
      </c>
      <c r="I34" s="25">
        <f>MowerSales[[#This Row],[SA]]/IndustryMowerSales[[#This Row],[SA]]</f>
        <v>0.43000000000000005</v>
      </c>
      <c r="J34" s="25">
        <f>MowerSales[[#This Row],[Europe]]/IndustryMowerSales[[#This Row],[Eur]]</f>
        <v>5.5E-2</v>
      </c>
      <c r="K34" s="25">
        <f>MowerSales[[#This Row],[Pacific]]/IndustryMowerSales[[#This Row],[Pac]]</f>
        <v>0.108</v>
      </c>
      <c r="L34" s="25"/>
      <c r="M34" s="25">
        <f>MowerSales[[#This Row],[World]]/IndustryMowerSales[[#This Row],[World]]</f>
        <v>9.4746590512660336E-2</v>
      </c>
    </row>
    <row r="35" spans="1:25" x14ac:dyDescent="0.2">
      <c r="A35" s="27">
        <v>41183</v>
      </c>
      <c r="B35">
        <v>5890</v>
      </c>
      <c r="C35">
        <v>270</v>
      </c>
      <c r="D35">
        <v>1080</v>
      </c>
      <c r="E35">
        <v>180</v>
      </c>
      <c r="G35" s="1">
        <f>SUM(MowerSales[[#This Row],[NA]],MowerSales[[#This Row],[SA]],MowerSales[[#This Row],[Europe]],MowerSales[[#This Row],[Pacific]],MowerSales[[#This Row],[China]])</f>
        <v>7420</v>
      </c>
      <c r="H35" s="25">
        <f>MowerSales[[#This Row],[NA]]/IndustryMowerSales[[#This Row],[NA]]</f>
        <v>0.106</v>
      </c>
      <c r="I35" s="25">
        <f>MowerSales[[#This Row],[SA]]/IndustryMowerSales[[#This Row],[SA]]</f>
        <v>0.42</v>
      </c>
      <c r="J35" s="25">
        <f>MowerSales[[#This Row],[Europe]]/IndustryMowerSales[[#This Row],[Eur]]</f>
        <v>5.6000000000000001E-2</v>
      </c>
      <c r="K35" s="25">
        <f>MowerSales[[#This Row],[Pacific]]/IndustryMowerSales[[#This Row],[Pac]]</f>
        <v>0.106</v>
      </c>
      <c r="L35" s="25"/>
      <c r="M35" s="25">
        <f>MowerSales[[#This Row],[World]]/IndustryMowerSales[[#This Row],[World]]</f>
        <v>9.6123051137454826E-2</v>
      </c>
    </row>
    <row r="36" spans="1:25" x14ac:dyDescent="0.2">
      <c r="A36" s="27">
        <v>41214</v>
      </c>
      <c r="B36">
        <v>5340</v>
      </c>
      <c r="C36">
        <v>260</v>
      </c>
      <c r="D36">
        <v>840</v>
      </c>
      <c r="E36">
        <v>190</v>
      </c>
      <c r="G36" s="1">
        <f>SUM(MowerSales[[#This Row],[NA]],MowerSales[[#This Row],[SA]],MowerSales[[#This Row],[Europe]],MowerSales[[#This Row],[Pacific]],MowerSales[[#This Row],[China]])</f>
        <v>6630</v>
      </c>
      <c r="H36" s="25">
        <f>MowerSales[[#This Row],[NA]]/IndustryMowerSales[[#This Row],[NA]]</f>
        <v>0.105</v>
      </c>
      <c r="I36" s="25">
        <f>MowerSales[[#This Row],[SA]]/IndustryMowerSales[[#This Row],[SA]]</f>
        <v>0.42</v>
      </c>
      <c r="J36" s="25">
        <f>MowerSales[[#This Row],[Europe]]/IndustryMowerSales[[#This Row],[Eur]]</f>
        <v>5.5E-2</v>
      </c>
      <c r="K36" s="25">
        <f>MowerSales[[#This Row],[Pacific]]/IndustryMowerSales[[#This Row],[Pac]]</f>
        <v>0.105</v>
      </c>
      <c r="L36" s="25"/>
      <c r="M36" s="25">
        <f>MowerSales[[#This Row],[World]]/IndustryMowerSales[[#This Row],[World]]</f>
        <v>9.6705815495358949E-2</v>
      </c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</row>
    <row r="37" spans="1:25" x14ac:dyDescent="0.2">
      <c r="A37" s="27">
        <v>41244</v>
      </c>
      <c r="B37">
        <v>4430</v>
      </c>
      <c r="C37">
        <v>230</v>
      </c>
      <c r="D37">
        <v>510</v>
      </c>
      <c r="E37">
        <v>180</v>
      </c>
      <c r="G37" s="1">
        <f>SUM(MowerSales[[#This Row],[NA]],MowerSales[[#This Row],[SA]],MowerSales[[#This Row],[Europe]],MowerSales[[#This Row],[Pacific]],MowerSales[[#This Row],[China]])</f>
        <v>5350</v>
      </c>
      <c r="H37" s="25">
        <f>MowerSales[[#This Row],[NA]]/IndustryMowerSales[[#This Row],[NA]]</f>
        <v>0.10399999999999998</v>
      </c>
      <c r="I37" s="25">
        <f>MowerSales[[#This Row],[SA]]/IndustryMowerSales[[#This Row],[SA]]</f>
        <v>0.42000000000000004</v>
      </c>
      <c r="J37" s="25">
        <f>MowerSales[[#This Row],[Europe]]/IndustryMowerSales[[#This Row],[Eur]]</f>
        <v>5.6000000000000001E-2</v>
      </c>
      <c r="K37" s="25">
        <f>MowerSales[[#This Row],[Pacific]]/IndustryMowerSales[[#This Row],[Pac]]</f>
        <v>0.104</v>
      </c>
      <c r="L37" s="25"/>
      <c r="M37" s="25">
        <f>MowerSales[[#This Row],[World]]/IndustryMowerSales[[#This Row],[World]]</f>
        <v>9.9107688131912869E-2</v>
      </c>
      <c r="O37" t="s">
        <v>42</v>
      </c>
      <c r="R37" s="31"/>
      <c r="S37" t="s">
        <v>43</v>
      </c>
    </row>
    <row r="38" spans="1:25" ht="13.5" thickBot="1" x14ac:dyDescent="0.25">
      <c r="A38" s="27">
        <v>41275</v>
      </c>
      <c r="B38">
        <v>6100</v>
      </c>
      <c r="C38">
        <v>250</v>
      </c>
      <c r="D38">
        <v>480</v>
      </c>
      <c r="E38">
        <v>200</v>
      </c>
      <c r="F38">
        <v>0</v>
      </c>
      <c r="G38" s="1">
        <f>SUM(MowerSales[[#This Row],[NA]],MowerSales[[#This Row],[SA]],MowerSales[[#This Row],[Europe]],MowerSales[[#This Row],[Pacific]],MowerSales[[#This Row],[China]])</f>
        <v>7030</v>
      </c>
      <c r="H38" s="25">
        <f>MowerSales[[#This Row],[NA]]/IndustryMowerSales[[#This Row],[NA]]</f>
        <v>0.105</v>
      </c>
      <c r="I38" s="25">
        <f>MowerSales[[#This Row],[SA]]/IndustryMowerSales[[#This Row],[SA]]</f>
        <v>0.43</v>
      </c>
      <c r="J38" s="25">
        <f>MowerSales[[#This Row],[Europe]]/IndustryMowerSales[[#This Row],[Eur]]</f>
        <v>5.6000000000000008E-2</v>
      </c>
      <c r="K38" s="25">
        <f>MowerSales[[#This Row],[Pacific]]/IndustryMowerSales[[#This Row],[Pac]]</f>
        <v>0.106</v>
      </c>
      <c r="L38" s="25"/>
      <c r="M38" s="25">
        <f>MowerSales[[#This Row],[World]]/IndustryMowerSales[[#This Row],[World]]</f>
        <v>0.10168532289628179</v>
      </c>
      <c r="R38" s="31"/>
    </row>
    <row r="39" spans="1:25" ht="13.5" thickBot="1" x14ac:dyDescent="0.25">
      <c r="A39" s="27">
        <v>41306</v>
      </c>
      <c r="B39">
        <v>8010</v>
      </c>
      <c r="C39">
        <v>270</v>
      </c>
      <c r="D39">
        <v>750</v>
      </c>
      <c r="E39">
        <v>190</v>
      </c>
      <c r="F39">
        <v>0</v>
      </c>
      <c r="G39" s="1">
        <f>SUM(MowerSales[[#This Row],[NA]],MowerSales[[#This Row],[SA]],MowerSales[[#This Row],[Europe]],MowerSales[[#This Row],[Pacific]],MowerSales[[#This Row],[China]])</f>
        <v>9220</v>
      </c>
      <c r="H39" s="25">
        <f>MowerSales[[#This Row],[NA]]/IndustryMowerSales[[#This Row],[NA]]</f>
        <v>0.10599999999999998</v>
      </c>
      <c r="I39" s="25">
        <f>MowerSales[[#This Row],[SA]]/IndustryMowerSales[[#This Row],[SA]]</f>
        <v>0.44</v>
      </c>
      <c r="J39" s="25">
        <f>MowerSales[[#This Row],[Europe]]/IndustryMowerSales[[#This Row],[Eur]]</f>
        <v>5.7000000000000002E-2</v>
      </c>
      <c r="K39" s="25">
        <f>MowerSales[[#This Row],[Pacific]]/IndustryMowerSales[[#This Row],[Pac]]</f>
        <v>0.10299999999999999</v>
      </c>
      <c r="L39" s="25"/>
      <c r="M39" s="25">
        <f>MowerSales[[#This Row],[World]]/IndustryMowerSales[[#This Row],[World]]</f>
        <v>0.10111619443867428</v>
      </c>
      <c r="O39" s="15" t="s">
        <v>44</v>
      </c>
      <c r="P39" s="15" t="s">
        <v>23</v>
      </c>
      <c r="Q39" s="15" t="s">
        <v>31</v>
      </c>
      <c r="R39" s="31"/>
      <c r="S39" t="s">
        <v>45</v>
      </c>
    </row>
    <row r="40" spans="1:25" x14ac:dyDescent="0.2">
      <c r="A40" s="27">
        <v>41334</v>
      </c>
      <c r="B40">
        <v>8430</v>
      </c>
      <c r="C40">
        <v>280</v>
      </c>
      <c r="D40">
        <v>1140</v>
      </c>
      <c r="E40">
        <v>200</v>
      </c>
      <c r="F40">
        <v>0</v>
      </c>
      <c r="G40" s="1">
        <f>SUM(MowerSales[[#This Row],[NA]],MowerSales[[#This Row],[SA]],MowerSales[[#This Row],[Europe]],MowerSales[[#This Row],[Pacific]],MowerSales[[#This Row],[China]])</f>
        <v>10050</v>
      </c>
      <c r="H40" s="25">
        <f>MowerSales[[#This Row],[NA]]/IndustryMowerSales[[#This Row],[NA]]</f>
        <v>0.105</v>
      </c>
      <c r="I40" s="25">
        <f>MowerSales[[#This Row],[SA]]/IndustryMowerSales[[#This Row],[SA]]</f>
        <v>0.45</v>
      </c>
      <c r="J40" s="25">
        <f>MowerSales[[#This Row],[Europe]]/IndustryMowerSales[[#This Row],[Eur]]</f>
        <v>5.8000000000000003E-2</v>
      </c>
      <c r="K40" s="25">
        <f>MowerSales[[#This Row],[Pacific]]/IndustryMowerSales[[#This Row],[Pac]]</f>
        <v>0.104</v>
      </c>
      <c r="L40" s="25"/>
      <c r="M40" s="25">
        <f>MowerSales[[#This Row],[World]]/IndustryMowerSales[[#This Row],[World]]</f>
        <v>9.8061996523302969E-2</v>
      </c>
      <c r="O40" s="13" t="s">
        <v>10</v>
      </c>
      <c r="P40" s="13">
        <v>0.10386666666666672</v>
      </c>
      <c r="Q40" s="13">
        <v>9.5402135541073393E-2</v>
      </c>
      <c r="R40" s="31"/>
      <c r="S40" s="15" t="s">
        <v>46</v>
      </c>
      <c r="T40" s="15" t="s">
        <v>47</v>
      </c>
      <c r="U40" s="15" t="s">
        <v>48</v>
      </c>
      <c r="V40" s="15" t="s">
        <v>49</v>
      </c>
      <c r="W40" s="15" t="s">
        <v>50</v>
      </c>
    </row>
    <row r="41" spans="1:25" x14ac:dyDescent="0.2">
      <c r="A41" s="27">
        <v>41365</v>
      </c>
      <c r="B41">
        <v>9110</v>
      </c>
      <c r="C41">
        <v>320</v>
      </c>
      <c r="D41">
        <v>1410</v>
      </c>
      <c r="E41">
        <v>210</v>
      </c>
      <c r="F41">
        <v>0</v>
      </c>
      <c r="G41" s="1">
        <f>SUM(MowerSales[[#This Row],[NA]],MowerSales[[#This Row],[SA]],MowerSales[[#This Row],[Europe]],MowerSales[[#This Row],[Pacific]],MowerSales[[#This Row],[China]])</f>
        <v>11050</v>
      </c>
      <c r="H41" s="25">
        <f>MowerSales[[#This Row],[NA]]/IndustryMowerSales[[#This Row],[NA]]</f>
        <v>0.107</v>
      </c>
      <c r="I41" s="25">
        <f>MowerSales[[#This Row],[SA]]/IndustryMowerSales[[#This Row],[SA]]</f>
        <v>0.44</v>
      </c>
      <c r="J41" s="25">
        <f>MowerSales[[#This Row],[Europe]]/IndustryMowerSales[[#This Row],[Eur]]</f>
        <v>5.6000000000000001E-2</v>
      </c>
      <c r="K41" s="25">
        <f>MowerSales[[#This Row],[Pacific]]/IndustryMowerSales[[#This Row],[Pac]]</f>
        <v>0.106</v>
      </c>
      <c r="L41" s="25"/>
      <c r="M41" s="25">
        <f>MowerSales[[#This Row],[World]]/IndustryMowerSales[[#This Row],[World]]</f>
        <v>9.7764109903464194E-2</v>
      </c>
      <c r="O41" s="13" t="s">
        <v>50</v>
      </c>
      <c r="P41" s="13">
        <v>4.151412429378527E-6</v>
      </c>
      <c r="Q41" s="13">
        <v>9.7722849461217642E-6</v>
      </c>
      <c r="R41" s="31"/>
      <c r="S41" s="13" t="s">
        <v>32</v>
      </c>
      <c r="T41" s="13">
        <v>60</v>
      </c>
      <c r="U41" s="13">
        <v>6.2320000000000029</v>
      </c>
      <c r="V41" s="13">
        <v>0.10386666666666672</v>
      </c>
      <c r="W41" s="13">
        <v>4.151412429378527E-6</v>
      </c>
    </row>
    <row r="42" spans="1:25" x14ac:dyDescent="0.2">
      <c r="A42" s="27">
        <v>41395</v>
      </c>
      <c r="B42">
        <v>9730</v>
      </c>
      <c r="C42">
        <v>380</v>
      </c>
      <c r="D42">
        <v>1340</v>
      </c>
      <c r="E42">
        <v>190</v>
      </c>
      <c r="F42">
        <v>0</v>
      </c>
      <c r="G42" s="1">
        <f>SUM(MowerSales[[#This Row],[NA]],MowerSales[[#This Row],[SA]],MowerSales[[#This Row],[Europe]],MowerSales[[#This Row],[Pacific]],MowerSales[[#This Row],[China]])</f>
        <v>11640</v>
      </c>
      <c r="H42" s="25">
        <f>MowerSales[[#This Row],[NA]]/IndustryMowerSales[[#This Row],[NA]]</f>
        <v>0.108</v>
      </c>
      <c r="I42" s="25">
        <f>MowerSales[[#This Row],[SA]]/IndustryMowerSales[[#This Row],[SA]]</f>
        <v>0.46</v>
      </c>
      <c r="J42" s="25">
        <f>MowerSales[[#This Row],[Europe]]/IndustryMowerSales[[#This Row],[Eur]]</f>
        <v>5.8000000000000003E-2</v>
      </c>
      <c r="K42" s="25">
        <f>MowerSales[[#This Row],[Pacific]]/IndustryMowerSales[[#This Row],[Pac]]</f>
        <v>0.105</v>
      </c>
      <c r="L42" s="25"/>
      <c r="M42" s="25">
        <f>MowerSales[[#This Row],[World]]/IndustryMowerSales[[#This Row],[World]]</f>
        <v>0.10049066758306544</v>
      </c>
      <c r="O42" s="13" t="s">
        <v>51</v>
      </c>
      <c r="P42" s="13">
        <v>60</v>
      </c>
      <c r="Q42" s="13">
        <v>60</v>
      </c>
      <c r="R42" s="31"/>
      <c r="S42" s="13" t="s">
        <v>33</v>
      </c>
      <c r="T42" s="13">
        <v>60</v>
      </c>
      <c r="U42" s="13">
        <v>25.146022675564993</v>
      </c>
      <c r="V42" s="13">
        <v>0.41910037792608323</v>
      </c>
      <c r="W42" s="13">
        <v>2.0263628209516147E-3</v>
      </c>
    </row>
    <row r="43" spans="1:25" x14ac:dyDescent="0.2">
      <c r="A43" s="27">
        <v>41426</v>
      </c>
      <c r="B43">
        <v>10120</v>
      </c>
      <c r="C43">
        <v>360</v>
      </c>
      <c r="D43">
        <v>1360</v>
      </c>
      <c r="E43">
        <v>200</v>
      </c>
      <c r="F43">
        <v>0</v>
      </c>
      <c r="G43" s="1">
        <f>SUM(MowerSales[[#This Row],[NA]],MowerSales[[#This Row],[SA]],MowerSales[[#This Row],[Europe]],MowerSales[[#This Row],[Pacific]],MowerSales[[#This Row],[China]])</f>
        <v>12040</v>
      </c>
      <c r="H43" s="25">
        <f>MowerSales[[#This Row],[NA]]/IndustryMowerSales[[#This Row],[NA]]</f>
        <v>0.106</v>
      </c>
      <c r="I43" s="25">
        <f>MowerSales[[#This Row],[SA]]/IndustryMowerSales[[#This Row],[SA]]</f>
        <v>0.46</v>
      </c>
      <c r="J43" s="25">
        <f>MowerSales[[#This Row],[Europe]]/IndustryMowerSales[[#This Row],[Eur]]</f>
        <v>5.6000000000000001E-2</v>
      </c>
      <c r="K43" s="25">
        <f>MowerSales[[#This Row],[Pacific]]/IndustryMowerSales[[#This Row],[Pac]]</f>
        <v>0.10299999999999999</v>
      </c>
      <c r="L43" s="25"/>
      <c r="M43" s="25">
        <f>MowerSales[[#This Row],[World]]/IndustryMowerSales[[#This Row],[World]]</f>
        <v>9.8300344051168317E-2</v>
      </c>
      <c r="O43" s="13" t="s">
        <v>52</v>
      </c>
      <c r="P43" s="13">
        <v>0.56377698703577617</v>
      </c>
      <c r="Q43" s="13"/>
      <c r="R43" s="31"/>
      <c r="S43" s="13" t="s">
        <v>34</v>
      </c>
      <c r="T43" s="13">
        <v>60</v>
      </c>
      <c r="U43" s="13">
        <v>3.2530000000000001</v>
      </c>
      <c r="V43" s="13">
        <v>5.421666666666667E-2</v>
      </c>
      <c r="W43" s="13">
        <v>1.3392937853107354E-5</v>
      </c>
    </row>
    <row r="44" spans="1:25" x14ac:dyDescent="0.2">
      <c r="A44" s="27">
        <v>41456</v>
      </c>
      <c r="B44">
        <v>9080</v>
      </c>
      <c r="C44">
        <v>320</v>
      </c>
      <c r="D44">
        <v>1410</v>
      </c>
      <c r="E44">
        <v>200</v>
      </c>
      <c r="F44">
        <v>0</v>
      </c>
      <c r="G44" s="1">
        <f>SUM(MowerSales[[#This Row],[NA]],MowerSales[[#This Row],[SA]],MowerSales[[#This Row],[Europe]],MowerSales[[#This Row],[Pacific]],MowerSales[[#This Row],[China]])</f>
        <v>11010</v>
      </c>
      <c r="H44" s="25">
        <f>MowerSales[[#This Row],[NA]]/IndustryMowerSales[[#This Row],[NA]]</f>
        <v>0.104</v>
      </c>
      <c r="I44" s="25">
        <f>MowerSales[[#This Row],[SA]]/IndustryMowerSales[[#This Row],[SA]]</f>
        <v>0.47000000000000003</v>
      </c>
      <c r="J44" s="25">
        <f>MowerSales[[#This Row],[Europe]]/IndustryMowerSales[[#This Row],[Eur]]</f>
        <v>5.7000000000000002E-2</v>
      </c>
      <c r="K44" s="25">
        <f>MowerSales[[#This Row],[Pacific]]/IndustryMowerSales[[#This Row],[Pac]]</f>
        <v>0.10199999999999999</v>
      </c>
      <c r="L44" s="25"/>
      <c r="M44" s="25">
        <f>MowerSales[[#This Row],[World]]/IndustryMowerSales[[#This Row],[World]]</f>
        <v>9.6001113474372721E-2</v>
      </c>
      <c r="O44" s="13" t="s">
        <v>53</v>
      </c>
      <c r="P44" s="13">
        <v>0</v>
      </c>
      <c r="Q44" s="13"/>
      <c r="R44" s="31"/>
      <c r="S44" s="13" t="s">
        <v>36</v>
      </c>
      <c r="T44" s="13">
        <v>60</v>
      </c>
      <c r="U44" s="13">
        <v>6.3416937799043067</v>
      </c>
      <c r="V44" s="13">
        <v>0.10569489633173844</v>
      </c>
      <c r="W44" s="13">
        <v>1.3095472504367507E-5</v>
      </c>
    </row>
    <row r="45" spans="1:25" ht="13.5" thickBot="1" x14ac:dyDescent="0.25">
      <c r="A45" s="27">
        <v>41487</v>
      </c>
      <c r="B45">
        <v>7820</v>
      </c>
      <c r="C45">
        <v>310</v>
      </c>
      <c r="D45">
        <v>1490</v>
      </c>
      <c r="E45">
        <v>210</v>
      </c>
      <c r="F45">
        <v>0</v>
      </c>
      <c r="G45" s="1">
        <f>SUM(MowerSales[[#This Row],[NA]],MowerSales[[#This Row],[SA]],MowerSales[[#This Row],[Europe]],MowerSales[[#This Row],[Pacific]],MowerSales[[#This Row],[China]])</f>
        <v>9830</v>
      </c>
      <c r="H45" s="25">
        <f>MowerSales[[#This Row],[NA]]/IndustryMowerSales[[#This Row],[NA]]</f>
        <v>0.10500000000000001</v>
      </c>
      <c r="I45" s="25">
        <f>MowerSales[[#This Row],[SA]]/IndustryMowerSales[[#This Row],[SA]]</f>
        <v>0.48</v>
      </c>
      <c r="J45" s="25">
        <f>MowerSales[[#This Row],[Europe]]/IndustryMowerSales[[#This Row],[Eur]]</f>
        <v>5.6000000000000001E-2</v>
      </c>
      <c r="K45" s="25">
        <f>MowerSales[[#This Row],[Pacific]]/IndustryMowerSales[[#This Row],[Pac]]</f>
        <v>0.105</v>
      </c>
      <c r="L45" s="25"/>
      <c r="M45" s="25">
        <f>MowerSales[[#This Row],[World]]/IndustryMowerSales[[#This Row],[World]]</f>
        <v>9.4766017272544703E-2</v>
      </c>
      <c r="O45" s="13" t="s">
        <v>54</v>
      </c>
      <c r="P45" s="13">
        <v>59</v>
      </c>
      <c r="Q45" s="13"/>
      <c r="R45" s="31"/>
      <c r="S45" s="14" t="s">
        <v>37</v>
      </c>
      <c r="T45" s="14">
        <v>0</v>
      </c>
      <c r="U45" s="14">
        <v>0</v>
      </c>
      <c r="V45" s="14" t="e">
        <v>#DIV/0!</v>
      </c>
      <c r="W45" s="14" t="e">
        <v>#DIV/0!</v>
      </c>
    </row>
    <row r="46" spans="1:25" x14ac:dyDescent="0.2">
      <c r="A46" s="27">
        <v>41518</v>
      </c>
      <c r="B46">
        <v>6540</v>
      </c>
      <c r="C46">
        <v>300</v>
      </c>
      <c r="D46">
        <v>1310</v>
      </c>
      <c r="E46">
        <v>220</v>
      </c>
      <c r="F46">
        <v>0</v>
      </c>
      <c r="G46" s="1">
        <f>SUM(MowerSales[[#This Row],[NA]],MowerSales[[#This Row],[SA]],MowerSales[[#This Row],[Europe]],MowerSales[[#This Row],[Pacific]],MowerSales[[#This Row],[China]])</f>
        <v>8370</v>
      </c>
      <c r="H46" s="25">
        <f>MowerSales[[#This Row],[NA]]/IndustryMowerSales[[#This Row],[NA]]</f>
        <v>0.106</v>
      </c>
      <c r="I46" s="25">
        <f>MowerSales[[#This Row],[SA]]/IndustryMowerSales[[#This Row],[SA]]</f>
        <v>0.48</v>
      </c>
      <c r="J46" s="25">
        <f>MowerSales[[#This Row],[Europe]]/IndustryMowerSales[[#This Row],[Eur]]</f>
        <v>5.6999999999999995E-2</v>
      </c>
      <c r="K46" s="25">
        <f>MowerSales[[#This Row],[Pacific]]/IndustryMowerSales[[#This Row],[Pac]]</f>
        <v>0.10599999999999998</v>
      </c>
      <c r="L46" s="25"/>
      <c r="M46" s="25">
        <f>MowerSales[[#This Row],[World]]/IndustryMowerSales[[#This Row],[World]]</f>
        <v>9.5787368745042803E-2</v>
      </c>
      <c r="O46" s="13" t="s">
        <v>55</v>
      </c>
      <c r="P46" s="13">
        <v>25.251517443781466</v>
      </c>
      <c r="Q46" s="13"/>
      <c r="R46" s="31"/>
    </row>
    <row r="47" spans="1:25" x14ac:dyDescent="0.2">
      <c r="A47" s="27">
        <v>41548</v>
      </c>
      <c r="B47">
        <v>6010</v>
      </c>
      <c r="C47">
        <v>290</v>
      </c>
      <c r="D47">
        <v>980</v>
      </c>
      <c r="E47">
        <v>210</v>
      </c>
      <c r="F47">
        <v>0</v>
      </c>
      <c r="G47" s="1">
        <f>SUM(MowerSales[[#This Row],[NA]],MowerSales[[#This Row],[SA]],MowerSales[[#This Row],[Europe]],MowerSales[[#This Row],[Pacific]],MowerSales[[#This Row],[China]])</f>
        <v>7490</v>
      </c>
      <c r="H47" s="25">
        <f>MowerSales[[#This Row],[NA]]/IndustryMowerSales[[#This Row],[NA]]</f>
        <v>0.105</v>
      </c>
      <c r="I47" s="25">
        <f>MowerSales[[#This Row],[SA]]/IndustryMowerSales[[#This Row],[SA]]</f>
        <v>0.47000000000000003</v>
      </c>
      <c r="J47" s="25">
        <f>MowerSales[[#This Row],[Europe]]/IndustryMowerSales[[#This Row],[Eur]]</f>
        <v>5.8000000000000003E-2</v>
      </c>
      <c r="K47" s="25">
        <f>MowerSales[[#This Row],[Pacific]]/IndustryMowerSales[[#This Row],[Pac]]</f>
        <v>0.104</v>
      </c>
      <c r="L47" s="25"/>
      <c r="M47" s="25">
        <f>MowerSales[[#This Row],[World]]/IndustryMowerSales[[#This Row],[World]]</f>
        <v>9.7563010161098584E-2</v>
      </c>
      <c r="O47" s="13" t="s">
        <v>56</v>
      </c>
      <c r="P47" s="13">
        <v>1.2694226887146108E-33</v>
      </c>
      <c r="Q47" s="13"/>
      <c r="R47" s="31"/>
    </row>
    <row r="48" spans="1:25" ht="13.5" thickBot="1" x14ac:dyDescent="0.25">
      <c r="A48" s="27">
        <v>41579</v>
      </c>
      <c r="B48">
        <v>5270</v>
      </c>
      <c r="C48">
        <v>270</v>
      </c>
      <c r="D48">
        <v>770</v>
      </c>
      <c r="E48">
        <v>220</v>
      </c>
      <c r="F48">
        <v>0</v>
      </c>
      <c r="G48" s="1">
        <f>SUM(MowerSales[[#This Row],[NA]],MowerSales[[#This Row],[SA]],MowerSales[[#This Row],[Europe]],MowerSales[[#This Row],[Pacific]],MowerSales[[#This Row],[China]])</f>
        <v>6530</v>
      </c>
      <c r="H48" s="25">
        <f>MowerSales[[#This Row],[NA]]/IndustryMowerSales[[#This Row],[NA]]</f>
        <v>0.10400000000000001</v>
      </c>
      <c r="I48" s="25">
        <f>MowerSales[[#This Row],[SA]]/IndustryMowerSales[[#This Row],[SA]]</f>
        <v>0.46</v>
      </c>
      <c r="J48" s="25">
        <f>MowerSales[[#This Row],[Europe]]/IndustryMowerSales[[#This Row],[Eur]]</f>
        <v>5.6000000000000001E-2</v>
      </c>
      <c r="K48" s="25">
        <f>MowerSales[[#This Row],[Pacific]]/IndustryMowerSales[[#This Row],[Pac]]</f>
        <v>0.105</v>
      </c>
      <c r="L48" s="25"/>
      <c r="M48" s="25">
        <f>MowerSales[[#This Row],[World]]/IndustryMowerSales[[#This Row],[World]]</f>
        <v>9.7309791766543099E-2</v>
      </c>
      <c r="O48" s="13" t="s">
        <v>57</v>
      </c>
      <c r="P48" s="13">
        <v>1.6710930321038957</v>
      </c>
      <c r="Q48" s="13"/>
      <c r="R48" s="31"/>
      <c r="S48" t="s">
        <v>58</v>
      </c>
    </row>
    <row r="49" spans="1:25" x14ac:dyDescent="0.2">
      <c r="A49" s="27">
        <v>41609</v>
      </c>
      <c r="B49">
        <v>5380</v>
      </c>
      <c r="C49">
        <v>260</v>
      </c>
      <c r="D49">
        <v>430</v>
      </c>
      <c r="E49">
        <v>230</v>
      </c>
      <c r="F49">
        <v>0</v>
      </c>
      <c r="G49" s="1">
        <f>SUM(MowerSales[[#This Row],[NA]],MowerSales[[#This Row],[SA]],MowerSales[[#This Row],[Europe]],MowerSales[[#This Row],[Pacific]],MowerSales[[#This Row],[China]])</f>
        <v>6300</v>
      </c>
      <c r="H49" s="25">
        <f>MowerSales[[#This Row],[NA]]/IndustryMowerSales[[#This Row],[NA]]</f>
        <v>0.105</v>
      </c>
      <c r="I49" s="25">
        <f>MowerSales[[#This Row],[SA]]/IndustryMowerSales[[#This Row],[SA]]</f>
        <v>0.44</v>
      </c>
      <c r="J49" s="25">
        <f>MowerSales[[#This Row],[Europe]]/IndustryMowerSales[[#This Row],[Eur]]</f>
        <v>5.5E-2</v>
      </c>
      <c r="K49" s="25">
        <f>MowerSales[[#This Row],[Pacific]]/IndustryMowerSales[[#This Row],[Pac]]</f>
        <v>0.107</v>
      </c>
      <c r="L49" s="25"/>
      <c r="M49" s="25">
        <f>MowerSales[[#This Row],[World]]/IndustryMowerSales[[#This Row],[World]]</f>
        <v>0.1019471602453665</v>
      </c>
      <c r="O49" s="13" t="s">
        <v>59</v>
      </c>
      <c r="P49" s="13">
        <v>2.5388453774292216E-33</v>
      </c>
      <c r="Q49" s="13"/>
      <c r="R49" s="31"/>
      <c r="S49" s="15" t="s">
        <v>60</v>
      </c>
      <c r="T49" s="15" t="s">
        <v>61</v>
      </c>
      <c r="U49" s="15" t="s">
        <v>54</v>
      </c>
      <c r="V49" s="15" t="s">
        <v>62</v>
      </c>
      <c r="W49" s="15" t="s">
        <v>63</v>
      </c>
      <c r="X49" s="15" t="s">
        <v>64</v>
      </c>
      <c r="Y49" s="15" t="s">
        <v>65</v>
      </c>
    </row>
    <row r="50" spans="1:25" ht="13.5" thickBot="1" x14ac:dyDescent="0.25">
      <c r="A50" s="27">
        <v>41640</v>
      </c>
      <c r="B50">
        <v>6210</v>
      </c>
      <c r="C50">
        <v>270</v>
      </c>
      <c r="D50">
        <v>400</v>
      </c>
      <c r="E50">
        <v>200</v>
      </c>
      <c r="F50">
        <v>0</v>
      </c>
      <c r="G50" s="1">
        <f>SUM(MowerSales[[#This Row],[NA]],MowerSales[[#This Row],[SA]],MowerSales[[#This Row],[Europe]],MowerSales[[#This Row],[Pacific]],MowerSales[[#This Row],[China]])</f>
        <v>7080</v>
      </c>
      <c r="H50" s="25">
        <f>MowerSales[[#This Row],[NA]]/IndustryMowerSales[[#This Row],[NA]]</f>
        <v>0.104</v>
      </c>
      <c r="I50" s="25">
        <f>MowerSales[[#This Row],[SA]]/IndustryMowerSales[[#This Row],[SA]]</f>
        <v>0.48</v>
      </c>
      <c r="J50" s="25">
        <f>MowerSales[[#This Row],[Europe]]/IndustryMowerSales[[#This Row],[Eur]]</f>
        <v>5.2999999999999999E-2</v>
      </c>
      <c r="K50" s="25">
        <f>MowerSales[[#This Row],[Pacific]]/IndustryMowerSales[[#This Row],[Pac]]</f>
        <v>0.108</v>
      </c>
      <c r="L50" s="25"/>
      <c r="M50" s="25">
        <f>MowerSales[[#This Row],[World]]/IndustryMowerSales[[#This Row],[World]]</f>
        <v>0.10161746860733799</v>
      </c>
      <c r="O50" s="14" t="s">
        <v>66</v>
      </c>
      <c r="P50" s="14">
        <v>2.0009953780882688</v>
      </c>
      <c r="Q50" s="14"/>
      <c r="R50" s="31"/>
      <c r="S50" s="13" t="s">
        <v>67</v>
      </c>
      <c r="T50" s="13">
        <v>5.0378082660505816</v>
      </c>
      <c r="U50" s="13">
        <v>4</v>
      </c>
      <c r="V50" s="13">
        <v>1.2594520665126454</v>
      </c>
      <c r="W50" s="13">
        <v>2438.7239540627984</v>
      </c>
      <c r="X50" s="13">
        <v>5.1943288194930976E-190</v>
      </c>
      <c r="Y50" s="13">
        <v>2.4100578127284535</v>
      </c>
    </row>
    <row r="51" spans="1:25" x14ac:dyDescent="0.2">
      <c r="A51" s="27">
        <v>41671</v>
      </c>
      <c r="B51">
        <v>8030</v>
      </c>
      <c r="C51">
        <v>280</v>
      </c>
      <c r="D51">
        <v>750</v>
      </c>
      <c r="E51">
        <v>190</v>
      </c>
      <c r="F51">
        <v>0</v>
      </c>
      <c r="G51" s="1">
        <f>SUM(MowerSales[[#This Row],[NA]],MowerSales[[#This Row],[SA]],MowerSales[[#This Row],[Europe]],MowerSales[[#This Row],[Pacific]],MowerSales[[#This Row],[China]])</f>
        <v>9250</v>
      </c>
      <c r="H51" s="25">
        <f>MowerSales[[#This Row],[NA]]/IndustryMowerSales[[#This Row],[NA]]</f>
        <v>0.10299999999999999</v>
      </c>
      <c r="I51" s="25">
        <f>MowerSales[[#This Row],[SA]]/IndustryMowerSales[[#This Row],[SA]]</f>
        <v>0.49</v>
      </c>
      <c r="J51" s="25">
        <f>MowerSales[[#This Row],[Europe]]/IndustryMowerSales[[#This Row],[Eur]]</f>
        <v>5.3999999999999999E-2</v>
      </c>
      <c r="K51" s="25">
        <f>MowerSales[[#This Row],[Pacific]]/IndustryMowerSales[[#This Row],[Pac]]</f>
        <v>0.109</v>
      </c>
      <c r="L51" s="25"/>
      <c r="M51" s="25">
        <f>MowerSales[[#This Row],[World]]/IndustryMowerSales[[#This Row],[World]]</f>
        <v>9.8232242537492881E-2</v>
      </c>
      <c r="O51" s="31"/>
      <c r="P51" s="31"/>
      <c r="Q51" s="31"/>
      <c r="R51" s="31"/>
      <c r="S51" s="13" t="s">
        <v>68</v>
      </c>
      <c r="T51" s="13">
        <v>0.12136315598056831</v>
      </c>
      <c r="U51" s="13">
        <v>235</v>
      </c>
      <c r="V51" s="13">
        <v>5.164389616194396E-4</v>
      </c>
      <c r="W51" s="13"/>
      <c r="X51" s="13"/>
      <c r="Y51" s="13"/>
    </row>
    <row r="52" spans="1:25" x14ac:dyDescent="0.2">
      <c r="A52" s="27">
        <v>41699</v>
      </c>
      <c r="B52">
        <v>8540</v>
      </c>
      <c r="C52">
        <v>300</v>
      </c>
      <c r="D52">
        <v>970</v>
      </c>
      <c r="E52">
        <v>210</v>
      </c>
      <c r="F52">
        <v>0</v>
      </c>
      <c r="G52" s="1">
        <f>SUM(MowerSales[[#This Row],[NA]],MowerSales[[#This Row],[SA]],MowerSales[[#This Row],[Europe]],MowerSales[[#This Row],[Pacific]],MowerSales[[#This Row],[China]])</f>
        <v>10020</v>
      </c>
      <c r="H52" s="25">
        <f>MowerSales[[#This Row],[NA]]/IndustryMowerSales[[#This Row],[NA]]</f>
        <v>0.10199999999999999</v>
      </c>
      <c r="I52" s="25">
        <f>MowerSales[[#This Row],[SA]]/IndustryMowerSales[[#This Row],[SA]]</f>
        <v>0.48</v>
      </c>
      <c r="J52" s="25">
        <f>MowerSales[[#This Row],[Europe]]/IndustryMowerSales[[#This Row],[Eur]]</f>
        <v>5.2999999999999999E-2</v>
      </c>
      <c r="K52" s="25">
        <f>MowerSales[[#This Row],[Pacific]]/IndustryMowerSales[[#This Row],[Pac]]</f>
        <v>0.111</v>
      </c>
      <c r="L52" s="25"/>
      <c r="M52" s="25">
        <f>MowerSales[[#This Row],[World]]/IndustryMowerSales[[#This Row],[World]]</f>
        <v>9.584456524786443E-2</v>
      </c>
      <c r="O52" s="31"/>
      <c r="P52" s="31"/>
      <c r="Q52" s="31"/>
      <c r="R52" s="31"/>
      <c r="S52" s="13"/>
      <c r="T52" s="13"/>
      <c r="U52" s="13"/>
      <c r="V52" s="13"/>
      <c r="W52" s="13"/>
      <c r="X52" s="13"/>
      <c r="Y52" s="13"/>
    </row>
    <row r="53" spans="1:25" ht="13.5" thickBot="1" x14ac:dyDescent="0.25">
      <c r="A53" s="27">
        <v>41730</v>
      </c>
      <c r="B53">
        <v>9120</v>
      </c>
      <c r="C53">
        <v>340</v>
      </c>
      <c r="D53">
        <v>1310</v>
      </c>
      <c r="E53">
        <v>220</v>
      </c>
      <c r="F53">
        <v>5</v>
      </c>
      <c r="G53" s="1">
        <f>SUM(MowerSales[[#This Row],[NA]],MowerSales[[#This Row],[SA]],MowerSales[[#This Row],[Europe]],MowerSales[[#This Row],[Pacific]],MowerSales[[#This Row],[China]])</f>
        <v>10995</v>
      </c>
      <c r="H53" s="25">
        <f>MowerSales[[#This Row],[NA]]/IndustryMowerSales[[#This Row],[NA]]</f>
        <v>0.10100000000000001</v>
      </c>
      <c r="I53" s="25">
        <f>MowerSales[[#This Row],[SA]]/IndustryMowerSales[[#This Row],[SA]]</f>
        <v>0.47</v>
      </c>
      <c r="J53" s="25">
        <f>MowerSales[[#This Row],[Europe]]/IndustryMowerSales[[#This Row],[Eur]]</f>
        <v>5.1999999999999998E-2</v>
      </c>
      <c r="K53" s="25">
        <f>MowerSales[[#This Row],[Pacific]]/IndustryMowerSales[[#This Row],[Pac]]</f>
        <v>0.108</v>
      </c>
      <c r="L53" s="25"/>
      <c r="M53" s="25">
        <f>MowerSales[[#This Row],[World]]/IndustryMowerSales[[#This Row],[World]]</f>
        <v>9.2981146535962095E-2</v>
      </c>
      <c r="O53" s="31"/>
      <c r="P53" s="31"/>
      <c r="Q53" s="31"/>
      <c r="R53" s="31"/>
      <c r="S53" s="14" t="s">
        <v>69</v>
      </c>
      <c r="T53" s="14">
        <v>5.1591714220311502</v>
      </c>
      <c r="U53" s="14">
        <v>239</v>
      </c>
      <c r="V53" s="14"/>
      <c r="W53" s="14"/>
      <c r="X53" s="14"/>
      <c r="Y53" s="14"/>
    </row>
    <row r="54" spans="1:25" x14ac:dyDescent="0.2">
      <c r="A54" s="27">
        <v>41760</v>
      </c>
      <c r="B54">
        <v>9570</v>
      </c>
      <c r="C54">
        <v>390</v>
      </c>
      <c r="D54">
        <v>1260</v>
      </c>
      <c r="E54">
        <v>200</v>
      </c>
      <c r="F54">
        <v>16</v>
      </c>
      <c r="G54" s="1">
        <f>SUM(MowerSales[[#This Row],[NA]],MowerSales[[#This Row],[SA]],MowerSales[[#This Row],[Europe]],MowerSales[[#This Row],[Pacific]],MowerSales[[#This Row],[China]])</f>
        <v>11436</v>
      </c>
      <c r="H54" s="25">
        <f>MowerSales[[#This Row],[NA]]/IndustryMowerSales[[#This Row],[NA]]</f>
        <v>0.105</v>
      </c>
      <c r="I54" s="25">
        <f>MowerSales[[#This Row],[SA]]/IndustryMowerSales[[#This Row],[SA]]</f>
        <v>0.46</v>
      </c>
      <c r="J54" s="25">
        <f>MowerSales[[#This Row],[Europe]]/IndustryMowerSales[[#This Row],[Eur]]</f>
        <v>5.0999999999999997E-2</v>
      </c>
      <c r="K54" s="25">
        <f>MowerSales[[#This Row],[Pacific]]/IndustryMowerSales[[#This Row],[Pac]]</f>
        <v>0.106</v>
      </c>
      <c r="L54" s="25"/>
      <c r="M54" s="25">
        <f>MowerSales[[#This Row],[World]]/IndustryMowerSales[[#This Row],[World]]</f>
        <v>9.6438490100509991E-2</v>
      </c>
      <c r="O54" s="31"/>
      <c r="P54" s="31"/>
      <c r="Q54" s="31"/>
      <c r="R54" s="31"/>
      <c r="S54" s="13"/>
      <c r="T54" s="13"/>
      <c r="U54" s="13"/>
      <c r="V54" s="13"/>
      <c r="W54" s="13"/>
      <c r="X54" s="13"/>
      <c r="Y54" s="13"/>
    </row>
    <row r="55" spans="1:25" x14ac:dyDescent="0.2">
      <c r="A55" s="27">
        <v>41791</v>
      </c>
      <c r="B55">
        <v>10230</v>
      </c>
      <c r="C55">
        <v>380</v>
      </c>
      <c r="D55">
        <v>1240</v>
      </c>
      <c r="E55">
        <v>210</v>
      </c>
      <c r="F55">
        <v>22</v>
      </c>
      <c r="G55" s="1">
        <f>SUM(MowerSales[[#This Row],[NA]],MowerSales[[#This Row],[SA]],MowerSales[[#This Row],[Europe]],MowerSales[[#This Row],[Pacific]],MowerSales[[#This Row],[China]])</f>
        <v>12082</v>
      </c>
      <c r="H55" s="25">
        <f>MowerSales[[#This Row],[NA]]/IndustryMowerSales[[#This Row],[NA]]</f>
        <v>0.10299999999999999</v>
      </c>
      <c r="I55" s="25">
        <f>MowerSales[[#This Row],[SA]]/IndustryMowerSales[[#This Row],[SA]]</f>
        <v>0.47999999999999993</v>
      </c>
      <c r="J55" s="25">
        <f>MowerSales[[#This Row],[Europe]]/IndustryMowerSales[[#This Row],[Eur]]</f>
        <v>4.9000000000000002E-2</v>
      </c>
      <c r="K55" s="25">
        <f>MowerSales[[#This Row],[Pacific]]/IndustryMowerSales[[#This Row],[Pac]]</f>
        <v>0.108</v>
      </c>
      <c r="L55" s="25"/>
      <c r="M55" s="25">
        <f>MowerSales[[#This Row],[World]]/IndustryMowerSales[[#This Row],[World]]</f>
        <v>9.4862996842002167E-2</v>
      </c>
    </row>
    <row r="56" spans="1:25" x14ac:dyDescent="0.2">
      <c r="A56" s="27">
        <v>41821</v>
      </c>
      <c r="B56">
        <v>9580</v>
      </c>
      <c r="C56">
        <v>350</v>
      </c>
      <c r="D56">
        <v>1300</v>
      </c>
      <c r="E56">
        <v>230</v>
      </c>
      <c r="F56">
        <v>26</v>
      </c>
      <c r="G56" s="1">
        <f>SUM(MowerSales[[#This Row],[NA]],MowerSales[[#This Row],[SA]],MowerSales[[#This Row],[Europe]],MowerSales[[#This Row],[Pacific]],MowerSales[[#This Row],[China]])</f>
        <v>11486</v>
      </c>
      <c r="H56" s="25">
        <f>MowerSales[[#This Row],[NA]]/IndustryMowerSales[[#This Row],[NA]]</f>
        <v>0.10199999999999998</v>
      </c>
      <c r="I56" s="25">
        <f>MowerSales[[#This Row],[SA]]/IndustryMowerSales[[#This Row],[SA]]</f>
        <v>0.47000000000000003</v>
      </c>
      <c r="J56" s="25">
        <f>MowerSales[[#This Row],[Europe]]/IndustryMowerSales[[#This Row],[Eur]]</f>
        <v>4.8000000000000001E-2</v>
      </c>
      <c r="K56" s="25">
        <f>MowerSales[[#This Row],[Pacific]]/IndustryMowerSales[[#This Row],[Pac]]</f>
        <v>0.106</v>
      </c>
      <c r="L56" s="25"/>
      <c r="M56" s="25">
        <f>MowerSales[[#This Row],[World]]/IndustryMowerSales[[#This Row],[World]]</f>
        <v>9.2689284678951336E-2</v>
      </c>
    </row>
    <row r="57" spans="1:25" x14ac:dyDescent="0.2">
      <c r="A57" s="27">
        <v>41852</v>
      </c>
      <c r="B57">
        <v>7680</v>
      </c>
      <c r="C57">
        <v>340</v>
      </c>
      <c r="D57">
        <v>1250</v>
      </c>
      <c r="E57">
        <v>220</v>
      </c>
      <c r="F57">
        <v>14</v>
      </c>
      <c r="G57" s="1">
        <f>SUM(MowerSales[[#This Row],[NA]],MowerSales[[#This Row],[SA]],MowerSales[[#This Row],[Europe]],MowerSales[[#This Row],[Pacific]],MowerSales[[#This Row],[China]])</f>
        <v>9504</v>
      </c>
      <c r="H57" s="25">
        <f>MowerSales[[#This Row],[NA]]/IndustryMowerSales[[#This Row],[NA]]</f>
        <v>0.105</v>
      </c>
      <c r="I57" s="25">
        <f>MowerSales[[#This Row],[SA]]/IndustryMowerSales[[#This Row],[SA]]</f>
        <v>0.46</v>
      </c>
      <c r="J57" s="25">
        <f>MowerSales[[#This Row],[Europe]]/IndustryMowerSales[[#This Row],[Eur]]</f>
        <v>4.8000000000000001E-2</v>
      </c>
      <c r="K57" s="25">
        <f>MowerSales[[#This Row],[Pacific]]/IndustryMowerSales[[#This Row],[Pac]]</f>
        <v>0.108</v>
      </c>
      <c r="L57" s="25"/>
      <c r="M57" s="25">
        <f>MowerSales[[#This Row],[World]]/IndustryMowerSales[[#This Row],[World]]</f>
        <v>9.3212392742368755E-2</v>
      </c>
    </row>
    <row r="58" spans="1:25" x14ac:dyDescent="0.2">
      <c r="A58" s="27">
        <v>41883</v>
      </c>
      <c r="B58">
        <v>6870</v>
      </c>
      <c r="C58">
        <v>320</v>
      </c>
      <c r="D58">
        <v>1210</v>
      </c>
      <c r="E58">
        <v>220</v>
      </c>
      <c r="F58">
        <v>15</v>
      </c>
      <c r="G58" s="1">
        <f>SUM(MowerSales[[#This Row],[NA]],MowerSales[[#This Row],[SA]],MowerSales[[#This Row],[Europe]],MowerSales[[#This Row],[Pacific]],MowerSales[[#This Row],[China]])</f>
        <v>8635</v>
      </c>
      <c r="H58" s="25">
        <f>MowerSales[[#This Row],[NA]]/IndustryMowerSales[[#This Row],[NA]]</f>
        <v>0.10299999999999998</v>
      </c>
      <c r="I58" s="25">
        <f>MowerSales[[#This Row],[SA]]/IndustryMowerSales[[#This Row],[SA]]</f>
        <v>0.47999999999999993</v>
      </c>
      <c r="J58" s="25">
        <f>MowerSales[[#This Row],[Europe]]/IndustryMowerSales[[#This Row],[Eur]]</f>
        <v>4.5999999999999999E-2</v>
      </c>
      <c r="K58" s="25">
        <f>MowerSales[[#This Row],[Pacific]]/IndustryMowerSales[[#This Row],[Pac]]</f>
        <v>0.109</v>
      </c>
      <c r="L58" s="25"/>
      <c r="M58" s="25">
        <f>MowerSales[[#This Row],[World]]/IndustryMowerSales[[#This Row],[World]]</f>
        <v>9.0240830654649121E-2</v>
      </c>
    </row>
    <row r="59" spans="1:25" x14ac:dyDescent="0.2">
      <c r="A59" s="27">
        <v>41913</v>
      </c>
      <c r="B59">
        <v>5930</v>
      </c>
      <c r="C59">
        <v>310</v>
      </c>
      <c r="D59">
        <v>970</v>
      </c>
      <c r="E59">
        <v>230</v>
      </c>
      <c r="F59">
        <v>11</v>
      </c>
      <c r="G59" s="1">
        <f>SUM(MowerSales[[#This Row],[NA]],MowerSales[[#This Row],[SA]],MowerSales[[#This Row],[Europe]],MowerSales[[#This Row],[Pacific]],MowerSales[[#This Row],[China]])</f>
        <v>7451</v>
      </c>
      <c r="H59" s="25">
        <f>MowerSales[[#This Row],[NA]]/IndustryMowerSales[[#This Row],[NA]]</f>
        <v>0.105</v>
      </c>
      <c r="I59" s="25">
        <f>MowerSales[[#This Row],[SA]]/IndustryMowerSales[[#This Row],[SA]]</f>
        <v>0.47</v>
      </c>
      <c r="J59" s="25">
        <f>MowerSales[[#This Row],[Europe]]/IndustryMowerSales[[#This Row],[Eur]]</f>
        <v>4.2999999999999997E-2</v>
      </c>
      <c r="K59" s="25">
        <f>MowerSales[[#This Row],[Pacific]]/IndustryMowerSales[[#This Row],[Pac]]</f>
        <v>0.111</v>
      </c>
      <c r="L59" s="25"/>
      <c r="M59" s="25">
        <f>MowerSales[[#This Row],[World]]/IndustryMowerSales[[#This Row],[World]]</f>
        <v>9.112592198212778E-2</v>
      </c>
    </row>
    <row r="60" spans="1:25" x14ac:dyDescent="0.2">
      <c r="A60" s="27">
        <v>41944</v>
      </c>
      <c r="B60">
        <v>5260</v>
      </c>
      <c r="C60">
        <v>300</v>
      </c>
      <c r="D60">
        <v>650</v>
      </c>
      <c r="E60">
        <v>240</v>
      </c>
      <c r="F60">
        <v>3</v>
      </c>
      <c r="G60" s="1">
        <f>SUM(MowerSales[[#This Row],[NA]],MowerSales[[#This Row],[SA]],MowerSales[[#This Row],[Europe]],MowerSales[[#This Row],[Pacific]],MowerSales[[#This Row],[China]])</f>
        <v>6453</v>
      </c>
      <c r="H60" s="25">
        <f>MowerSales[[#This Row],[NA]]/IndustryMowerSales[[#This Row],[NA]]</f>
        <v>0.10299999999999999</v>
      </c>
      <c r="I60" s="25">
        <f>MowerSales[[#This Row],[SA]]/IndustryMowerSales[[#This Row],[SA]]</f>
        <v>0.48</v>
      </c>
      <c r="J60" s="25">
        <f>MowerSales[[#This Row],[Europe]]/IndustryMowerSales[[#This Row],[Eur]]</f>
        <v>4.3999999999999997E-2</v>
      </c>
      <c r="K60" s="25">
        <f>MowerSales[[#This Row],[Pacific]]/IndustryMowerSales[[#This Row],[Pac]]</f>
        <v>0.10999999999999999</v>
      </c>
      <c r="L60" s="25"/>
      <c r="M60" s="25">
        <f>MowerSales[[#This Row],[World]]/IndustryMowerSales[[#This Row],[World]]</f>
        <v>9.4001957503845088E-2</v>
      </c>
    </row>
    <row r="61" spans="1:25" x14ac:dyDescent="0.2">
      <c r="A61" s="27">
        <v>41974</v>
      </c>
      <c r="B61">
        <v>4830</v>
      </c>
      <c r="C61">
        <v>290</v>
      </c>
      <c r="D61">
        <v>300</v>
      </c>
      <c r="E61">
        <v>230</v>
      </c>
      <c r="F61">
        <v>1</v>
      </c>
      <c r="G61" s="1">
        <f>SUM(MowerSales[[#This Row],[NA]],MowerSales[[#This Row],[SA]],MowerSales[[#This Row],[Europe]],MowerSales[[#This Row],[Pacific]],MowerSales[[#This Row],[China]])</f>
        <v>5651</v>
      </c>
      <c r="H61" s="25">
        <f>MowerSales[[#This Row],[NA]]/IndustryMowerSales[[#This Row],[NA]]</f>
        <v>0.10299999999999999</v>
      </c>
      <c r="I61" s="25">
        <f>MowerSales[[#This Row],[SA]]/IndustryMowerSales[[#This Row],[SA]]</f>
        <v>0.47697368421052633</v>
      </c>
      <c r="J61" s="25">
        <f>MowerSales[[#This Row],[Europe]]/IndustryMowerSales[[#This Row],[Eur]]</f>
        <v>4.2999999999999997E-2</v>
      </c>
      <c r="K61" s="25">
        <f>MowerSales[[#This Row],[Pacific]]/IndustryMowerSales[[#This Row],[Pac]]</f>
        <v>0.113</v>
      </c>
      <c r="L61" s="25"/>
      <c r="M61" s="25">
        <f>MowerSales[[#This Row],[World]]/IndustryMowerSales[[#This Row],[World]]</f>
        <v>0.10000086186144176</v>
      </c>
    </row>
    <row r="63" spans="1:25" x14ac:dyDescent="0.2">
      <c r="A63" s="5" t="s">
        <v>10</v>
      </c>
      <c r="B63">
        <f>AVERAGE(MowerSales[NA])</f>
        <v>7542.333333333333</v>
      </c>
      <c r="C63">
        <f>AVERAGE(MowerSales[SA])</f>
        <v>282.33333333333331</v>
      </c>
      <c r="D63">
        <f>AVERAGE(MowerSales[Europe])</f>
        <v>1149</v>
      </c>
      <c r="E63">
        <f>AVERAGE(MowerSales[Pacific])</f>
        <v>172.5</v>
      </c>
      <c r="F63">
        <f>AVERAGE(MowerSales[China])</f>
        <v>4.708333333333333</v>
      </c>
      <c r="G63">
        <f>AVERAGE(MowerSales[World])</f>
        <v>9148.0499999999993</v>
      </c>
      <c r="H63" s="53">
        <f>AVERAGE(MowerSales[NA Market Share])</f>
        <v>0.10386666666666672</v>
      </c>
      <c r="I63" s="53">
        <f>AVERAGE(MowerSales[SA Market Share])</f>
        <v>0.41910037792608323</v>
      </c>
      <c r="J63" s="53">
        <f>AVERAGE(MowerSales[Europe Market Share])</f>
        <v>5.421666666666667E-2</v>
      </c>
      <c r="K63" s="53">
        <f>AVERAGE(MowerSales[Pacific Market Share])</f>
        <v>0.10569489633173844</v>
      </c>
      <c r="L63" s="53" t="e">
        <f>AVERAGE(MowerSales[China Market Share])</f>
        <v>#DIV/0!</v>
      </c>
      <c r="M63" s="53">
        <f>AVERAGE(MowerSales[World Market Share])</f>
        <v>9.5402135541073393E-2</v>
      </c>
    </row>
    <row r="64" spans="1:25" x14ac:dyDescent="0.2">
      <c r="A64" s="5" t="s">
        <v>27</v>
      </c>
      <c r="B64">
        <f>MEDIAN(MowerSales[NA])</f>
        <v>7870</v>
      </c>
      <c r="C64">
        <f>MEDIAN(MowerSales[SA])</f>
        <v>280</v>
      </c>
      <c r="D64">
        <f>MEDIAN(MowerSales[Europe])</f>
        <v>1260</v>
      </c>
      <c r="E64">
        <f>MEDIAN(MowerSales[Pacific])</f>
        <v>170</v>
      </c>
      <c r="F64">
        <f>MEDIAN(MowerSales[China])</f>
        <v>0</v>
      </c>
      <c r="G64">
        <f>MEDIAN(MowerSales[World])</f>
        <v>9390</v>
      </c>
      <c r="H64" s="53">
        <f>MEDIAN(MowerSales[NA Market Share])</f>
        <v>0.104</v>
      </c>
      <c r="I64" s="53">
        <f>MEDIAN(MowerSales[SA Market Share])</f>
        <v>0.42</v>
      </c>
      <c r="J64" s="53">
        <f>MEDIAN(MowerSales[Europe Market Share])</f>
        <v>5.5E-2</v>
      </c>
      <c r="K64" s="53">
        <f>MEDIAN(MowerSales[Pacific Market Share])</f>
        <v>0.106</v>
      </c>
      <c r="L64" s="53" t="e">
        <f>MEDIAN(MowerSales[China Market Share])</f>
        <v>#NUM!</v>
      </c>
      <c r="M64" s="53">
        <f>MEDIAN(MowerSales[World Market Share])</f>
        <v>9.5542533088323209E-2</v>
      </c>
    </row>
    <row r="65" spans="1:13" x14ac:dyDescent="0.2">
      <c r="A65" s="5" t="s">
        <v>28</v>
      </c>
      <c r="B65">
        <f>_xlfn.MODE.SNGL(MowerSales[NA])</f>
        <v>9050</v>
      </c>
      <c r="C65">
        <f>_xlfn.MODE.SNGL(MowerSales[SA])</f>
        <v>250</v>
      </c>
      <c r="D65">
        <f>_xlfn.MODE.SNGL(MowerSales[Europe])</f>
        <v>1590</v>
      </c>
      <c r="E65">
        <f>_xlfn.MODE.SNGL(MowerSales[Pacific])</f>
        <v>150</v>
      </c>
      <c r="F65">
        <f>_xlfn.MODE.SNGL(MowerSales[China])</f>
        <v>0</v>
      </c>
      <c r="G65">
        <f>_xlfn.MODE.SNGL(MowerSales[World])</f>
        <v>7020</v>
      </c>
      <c r="H65" s="53">
        <f>_xlfn.MODE.SNGL(MowerSales[NA Market Share])</f>
        <v>0.105</v>
      </c>
      <c r="I65" s="53">
        <f>_xlfn.MODE.SNGL(MowerSales[SA Market Share])</f>
        <v>0.41</v>
      </c>
      <c r="J65" s="53">
        <f>_xlfn.MODE.SNGL(MowerSales[Europe Market Share])</f>
        <v>5.6000000000000001E-2</v>
      </c>
      <c r="K65" s="53">
        <f>_xlfn.MODE.SNGL(MowerSales[Pacific Market Share])</f>
        <v>0.108</v>
      </c>
      <c r="L65" s="53" t="e">
        <f>_xlfn.MODE.SNGL(MowerSales[China Market Share])</f>
        <v>#N/A</v>
      </c>
      <c r="M65" s="53" t="e">
        <f>_xlfn.MODE.SNGL(MowerSales[World Market Share])</f>
        <v>#N/A</v>
      </c>
    </row>
    <row r="66" spans="1:13" x14ac:dyDescent="0.2">
      <c r="A66" s="5" t="s">
        <v>39</v>
      </c>
      <c r="B66">
        <f>_xlfn.STDEV.P(MowerSales[NA])</f>
        <v>1746.1064941431518</v>
      </c>
      <c r="C66">
        <f>_xlfn.STDEV.P(MowerSales[SA])</f>
        <v>46.917184721828974</v>
      </c>
      <c r="D66">
        <f>_xlfn.STDEV.P(MowerSales[Europe])</f>
        <v>374.09312566079939</v>
      </c>
      <c r="E66">
        <f>_xlfn.STDEV.P(MowerSales[Pacific])</f>
        <v>36.951544848174706</v>
      </c>
      <c r="F66">
        <f>_xlfn.STDEV.P(MowerSales[China])</f>
        <v>7.8021320091939543</v>
      </c>
      <c r="G66">
        <f>_xlfn.STDEV.P(MowerSales[World])</f>
        <v>2053.1433821094911</v>
      </c>
      <c r="H66" s="53">
        <f>_xlfn.STDEV.P(MowerSales[NA Market Share])</f>
        <v>2.0204509947588972E-3</v>
      </c>
      <c r="I66" s="53">
        <f>_xlfn.STDEV.P(MowerSales[SA Market Share])</f>
        <v>4.4638437554075337E-2</v>
      </c>
      <c r="J66" s="53">
        <f>_xlfn.STDEV.P(MowerSales[Europe Market Share])</f>
        <v>3.6290111906995041E-3</v>
      </c>
      <c r="K66" s="53">
        <f>_xlfn.STDEV.P(MowerSales[Pacific Market Share])</f>
        <v>3.5884836114011606E-3</v>
      </c>
      <c r="L66" s="53" t="e">
        <f>_xlfn.STDEV.P(MowerSales[China Market Share])</f>
        <v>#DIV/0!</v>
      </c>
      <c r="M66" s="53">
        <f>_xlfn.STDEV.P(MowerSales[World Market Share])</f>
        <v>3.0999054066782536E-3</v>
      </c>
    </row>
  </sheetData>
  <phoneticPr fontId="0" type="noConversion"/>
  <printOptions headings="1" gridLines="1"/>
  <pageMargins left="0.75" right="0.75" top="1" bottom="1" header="0.5" footer="0.5"/>
  <pageSetup scale="80" orientation="portrait" horizontalDpi="4294967292" verticalDpi="4294967292" r:id="rId1"/>
  <headerFooter alignWithMargins="0"/>
  <drawing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M66"/>
  <sheetViews>
    <sheetView workbookViewId="0">
      <pane ySplit="1" topLeftCell="A2" activePane="bottomLeft" state="frozen"/>
      <selection pane="bottomLeft" activeCell="G10" sqref="G10"/>
    </sheetView>
  </sheetViews>
  <sheetFormatPr defaultColWidth="8.85546875" defaultRowHeight="12.75" x14ac:dyDescent="0.2"/>
  <cols>
    <col min="1" max="1" width="13.140625" style="5" customWidth="1"/>
    <col min="2" max="6" width="9.7109375" customWidth="1"/>
    <col min="7" max="7" width="8.85546875" style="25"/>
  </cols>
  <sheetData>
    <row r="1" spans="1:6" ht="13.5" thickBot="1" x14ac:dyDescent="0.25">
      <c r="A1" s="9" t="s">
        <v>30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31</v>
      </c>
    </row>
    <row r="2" spans="1:6" ht="13.5" thickTop="1" x14ac:dyDescent="0.2">
      <c r="A2" s="27">
        <v>40179</v>
      </c>
      <c r="B2" s="2">
        <v>60000</v>
      </c>
      <c r="C2" s="2">
        <v>571.42857142857144</v>
      </c>
      <c r="D2" s="2">
        <v>13090.90909090909</v>
      </c>
      <c r="E2" s="2">
        <v>1045</v>
      </c>
      <c r="F2" s="2">
        <v>74662.337662337668</v>
      </c>
    </row>
    <row r="3" spans="1:6" x14ac:dyDescent="0.2">
      <c r="A3" s="27">
        <v>40210</v>
      </c>
      <c r="B3" s="2">
        <v>77184.466019417479</v>
      </c>
      <c r="C3" s="2">
        <v>611.11111111111109</v>
      </c>
      <c r="D3" s="2">
        <v>17678.571428571428</v>
      </c>
      <c r="E3" s="2">
        <v>1111.1111111111111</v>
      </c>
      <c r="F3" s="2">
        <v>96585.259670211133</v>
      </c>
    </row>
    <row r="4" spans="1:6" x14ac:dyDescent="0.2">
      <c r="A4" s="27">
        <v>40238</v>
      </c>
      <c r="B4" s="2">
        <v>77884.61538461539</v>
      </c>
      <c r="C4" s="2">
        <v>657.8947368421052</v>
      </c>
      <c r="D4" s="2">
        <v>22758.62068965517</v>
      </c>
      <c r="E4" s="2">
        <v>1067.9611650485438</v>
      </c>
      <c r="F4" s="2">
        <v>102369.09197616122</v>
      </c>
    </row>
    <row r="5" spans="1:6" x14ac:dyDescent="0.2">
      <c r="A5" s="27">
        <v>40269</v>
      </c>
      <c r="B5" s="2">
        <v>86190.476190476198</v>
      </c>
      <c r="C5" s="2">
        <v>777.77777777777783</v>
      </c>
      <c r="D5" s="2">
        <v>27966.101694915254</v>
      </c>
      <c r="E5" s="2">
        <v>1237.1134020618556</v>
      </c>
      <c r="F5" s="2">
        <v>116171.4690652311</v>
      </c>
    </row>
    <row r="6" spans="1:6" x14ac:dyDescent="0.2">
      <c r="A6" s="27">
        <v>40299</v>
      </c>
      <c r="B6" s="2">
        <v>96116.504854368934</v>
      </c>
      <c r="C6" s="2">
        <v>885.71428571428578</v>
      </c>
      <c r="D6" s="2">
        <v>27894.736842105263</v>
      </c>
      <c r="E6" s="2">
        <v>1313.1313131313132</v>
      </c>
      <c r="F6" s="2">
        <v>126210.0872953198</v>
      </c>
    </row>
    <row r="7" spans="1:6" x14ac:dyDescent="0.2">
      <c r="A7" s="27">
        <v>40330</v>
      </c>
      <c r="B7" s="2">
        <v>97142.857142857145</v>
      </c>
      <c r="C7" s="2">
        <v>882.35294117647049</v>
      </c>
      <c r="D7" s="2">
        <v>30566.037735849059</v>
      </c>
      <c r="E7" s="2">
        <v>1176.4705882352941</v>
      </c>
      <c r="F7" s="2">
        <v>129767.71840811797</v>
      </c>
    </row>
    <row r="8" spans="1:6" x14ac:dyDescent="0.2">
      <c r="A8" s="27">
        <v>40360</v>
      </c>
      <c r="B8" s="2">
        <v>84757.281553398061</v>
      </c>
      <c r="C8" s="2">
        <v>848.4848484848485</v>
      </c>
      <c r="D8" s="2">
        <v>29444.444444444445</v>
      </c>
      <c r="E8" s="2">
        <v>1359.2233009708739</v>
      </c>
      <c r="F8" s="2">
        <v>116409.43414729823</v>
      </c>
    </row>
    <row r="9" spans="1:6" x14ac:dyDescent="0.2">
      <c r="A9" s="27">
        <v>40391</v>
      </c>
      <c r="B9" s="2">
        <v>79803.921568627455</v>
      </c>
      <c r="C9" s="2">
        <v>735.29411764705878</v>
      </c>
      <c r="D9" s="2">
        <v>28363.636363636364</v>
      </c>
      <c r="E9" s="2">
        <v>1238.0952380952381</v>
      </c>
      <c r="F9" s="2">
        <v>110140.94728800612</v>
      </c>
    </row>
    <row r="10" spans="1:6" x14ac:dyDescent="0.2">
      <c r="A10" s="27">
        <v>40422</v>
      </c>
      <c r="B10" s="2">
        <v>64800</v>
      </c>
      <c r="C10" s="2">
        <v>657.14285714285722</v>
      </c>
      <c r="D10" s="2">
        <v>28392.857142857141</v>
      </c>
      <c r="E10" s="2">
        <v>1214.9532710280373</v>
      </c>
      <c r="F10" s="2">
        <v>95064.953271028033</v>
      </c>
    </row>
    <row r="11" spans="1:6" x14ac:dyDescent="0.2">
      <c r="A11" s="27">
        <v>40452</v>
      </c>
      <c r="B11" s="2">
        <v>59306.930693069306</v>
      </c>
      <c r="C11" s="2">
        <v>594.59459459459458</v>
      </c>
      <c r="D11" s="2">
        <v>24444.444444444445</v>
      </c>
      <c r="E11" s="2">
        <v>1153.8461538461538</v>
      </c>
      <c r="F11" s="2">
        <v>85499.815885954507</v>
      </c>
    </row>
    <row r="12" spans="1:6" x14ac:dyDescent="0.2">
      <c r="A12" s="27">
        <v>40483</v>
      </c>
      <c r="B12" s="2">
        <v>52156.862745098042</v>
      </c>
      <c r="C12" s="2">
        <v>552.63157894736844</v>
      </c>
      <c r="D12" s="2">
        <v>18000</v>
      </c>
      <c r="E12" s="2">
        <v>1262.1359223300972</v>
      </c>
      <c r="F12" s="2">
        <v>71971.630246375498</v>
      </c>
    </row>
    <row r="13" spans="1:6" x14ac:dyDescent="0.2">
      <c r="A13" s="27">
        <v>40513</v>
      </c>
      <c r="B13" s="2">
        <v>45048.543689320388</v>
      </c>
      <c r="C13" s="2">
        <v>461.53846153846155</v>
      </c>
      <c r="D13" s="2">
        <v>12452.830188679245</v>
      </c>
      <c r="E13" s="2">
        <v>1386.1386138613861</v>
      </c>
      <c r="F13" s="2">
        <v>59349.050953399485</v>
      </c>
    </row>
    <row r="14" spans="1:6" x14ac:dyDescent="0.2">
      <c r="A14" s="27">
        <v>40544</v>
      </c>
      <c r="B14" s="2">
        <v>58627.450980392161</v>
      </c>
      <c r="C14" s="2">
        <v>552.63157894736844</v>
      </c>
      <c r="D14" s="2">
        <v>12777.777777777777</v>
      </c>
      <c r="E14" s="2">
        <v>1443.2989690721649</v>
      </c>
      <c r="F14" s="2">
        <v>73401.159306189467</v>
      </c>
    </row>
    <row r="15" spans="1:6" x14ac:dyDescent="0.2">
      <c r="A15" s="27">
        <v>40575</v>
      </c>
      <c r="B15" s="2">
        <v>76200</v>
      </c>
      <c r="C15" s="2">
        <v>615.38461538461536</v>
      </c>
      <c r="D15" s="2">
        <v>18214.285714285714</v>
      </c>
      <c r="E15" s="2">
        <v>1515.151515151515</v>
      </c>
      <c r="F15" s="2">
        <v>96544.821844821839</v>
      </c>
    </row>
    <row r="16" spans="1:6" x14ac:dyDescent="0.2">
      <c r="A16" s="27">
        <v>40603</v>
      </c>
      <c r="B16" s="2">
        <v>82871.287128712866</v>
      </c>
      <c r="C16" s="2">
        <v>657.8947368421052</v>
      </c>
      <c r="D16" s="2">
        <v>23888.888888888891</v>
      </c>
      <c r="E16" s="2">
        <v>1372.5490196078433</v>
      </c>
      <c r="F16" s="2">
        <v>108790.61977405171</v>
      </c>
    </row>
    <row r="17" spans="1:6" x14ac:dyDescent="0.2">
      <c r="A17" s="27">
        <v>40634</v>
      </c>
      <c r="B17" s="2">
        <v>84903.846153846156</v>
      </c>
      <c r="C17" s="2">
        <v>783.78378378378375</v>
      </c>
      <c r="D17" s="2">
        <v>29454.545454545456</v>
      </c>
      <c r="E17" s="2">
        <v>1442.3076923076924</v>
      </c>
      <c r="F17" s="2">
        <v>116584.48308448309</v>
      </c>
    </row>
    <row r="18" spans="1:6" x14ac:dyDescent="0.2">
      <c r="A18" s="27">
        <v>40664</v>
      </c>
      <c r="B18" s="2">
        <v>93100</v>
      </c>
      <c r="C18" s="2">
        <v>846.15384615384608</v>
      </c>
      <c r="D18" s="2">
        <v>29464.285714285714</v>
      </c>
      <c r="E18" s="2">
        <v>1214.9532710280373</v>
      </c>
      <c r="F18" s="2">
        <v>124625.39283146759</v>
      </c>
    </row>
    <row r="19" spans="1:6" x14ac:dyDescent="0.2">
      <c r="A19" s="27">
        <v>40695</v>
      </c>
      <c r="B19" s="2">
        <v>93000</v>
      </c>
      <c r="C19" s="2">
        <v>837.83783783783781</v>
      </c>
      <c r="D19" s="2">
        <v>27413.793103448275</v>
      </c>
      <c r="E19" s="2">
        <v>1333.3333333333335</v>
      </c>
      <c r="F19" s="2">
        <v>122584.96427461944</v>
      </c>
    </row>
    <row r="20" spans="1:6" x14ac:dyDescent="0.2">
      <c r="A20" s="27">
        <v>40725</v>
      </c>
      <c r="B20" s="2">
        <v>83047.619047619053</v>
      </c>
      <c r="C20" s="2">
        <v>763.15789473684208</v>
      </c>
      <c r="D20" s="2">
        <v>27368.421052631576</v>
      </c>
      <c r="E20" s="2">
        <v>1415.0943396226417</v>
      </c>
      <c r="F20" s="2">
        <v>112594.2923346101</v>
      </c>
    </row>
    <row r="21" spans="1:6" x14ac:dyDescent="0.2">
      <c r="A21" s="27">
        <v>40756</v>
      </c>
      <c r="B21" s="2">
        <v>74854.368932038837</v>
      </c>
      <c r="C21" s="2">
        <v>694</v>
      </c>
      <c r="D21" s="2">
        <v>27321.428571428572</v>
      </c>
      <c r="E21" s="2">
        <v>1296.2962962962963</v>
      </c>
      <c r="F21" s="2">
        <v>104164.4014920714</v>
      </c>
    </row>
    <row r="22" spans="1:6" x14ac:dyDescent="0.2">
      <c r="A22" s="27">
        <v>40787</v>
      </c>
      <c r="B22" s="2">
        <v>60769.230769230773</v>
      </c>
      <c r="C22" s="2">
        <v>625</v>
      </c>
      <c r="D22" s="2">
        <v>29444.444444444445</v>
      </c>
      <c r="E22" s="2">
        <v>1401.8691588785048</v>
      </c>
      <c r="F22" s="2">
        <v>92240.544372553719</v>
      </c>
    </row>
    <row r="23" spans="1:6" x14ac:dyDescent="0.2">
      <c r="A23" s="27">
        <v>40817</v>
      </c>
      <c r="B23" s="2">
        <v>55619.047619047618</v>
      </c>
      <c r="C23" s="2">
        <v>609.7560975609756</v>
      </c>
      <c r="D23" s="2">
        <v>23773.584905660377</v>
      </c>
      <c r="E23" s="2">
        <v>1467.8899082568807</v>
      </c>
      <c r="F23" s="2">
        <v>81470.278530525859</v>
      </c>
    </row>
    <row r="24" spans="1:6" x14ac:dyDescent="0.2">
      <c r="A24" s="27">
        <v>40848</v>
      </c>
      <c r="B24" s="2">
        <v>48155.339805825242</v>
      </c>
      <c r="C24" s="2">
        <v>571.42857142857144</v>
      </c>
      <c r="D24" s="2">
        <v>17307.692307692309</v>
      </c>
      <c r="E24" s="2">
        <v>1351.3513513513512</v>
      </c>
      <c r="F24" s="2">
        <v>67385.812036297473</v>
      </c>
    </row>
    <row r="25" spans="1:6" x14ac:dyDescent="0.2">
      <c r="A25" s="27">
        <v>40878</v>
      </c>
      <c r="B25" s="2">
        <v>42647.058823529413</v>
      </c>
      <c r="C25" s="2">
        <v>512.19512195121956</v>
      </c>
      <c r="D25" s="2">
        <v>12941.176470588236</v>
      </c>
      <c r="E25" s="2">
        <v>1388.8888888888889</v>
      </c>
      <c r="F25" s="2">
        <v>57489.31930495776</v>
      </c>
    </row>
    <row r="26" spans="1:6" x14ac:dyDescent="0.2">
      <c r="A26" s="27">
        <v>40909</v>
      </c>
      <c r="B26" s="2">
        <v>57884.61538461539</v>
      </c>
      <c r="C26" s="2">
        <v>536.58536585365857</v>
      </c>
      <c r="D26" s="2">
        <v>10961.538461538463</v>
      </c>
      <c r="E26" s="2">
        <v>1509.433962264151</v>
      </c>
      <c r="F26" s="2">
        <v>70892.173174271666</v>
      </c>
    </row>
    <row r="27" spans="1:6" x14ac:dyDescent="0.2">
      <c r="A27" s="27">
        <v>40940</v>
      </c>
      <c r="B27" s="2">
        <v>77647.058823529413</v>
      </c>
      <c r="C27" s="2">
        <v>595.2380952380953</v>
      </c>
      <c r="D27" s="2">
        <v>15272.727272727272</v>
      </c>
      <c r="E27" s="2">
        <v>1401.8691588785048</v>
      </c>
      <c r="F27" s="2">
        <v>94916.89335037327</v>
      </c>
    </row>
    <row r="28" spans="1:6" x14ac:dyDescent="0.2">
      <c r="A28" s="27">
        <v>40969</v>
      </c>
      <c r="B28" s="2">
        <v>81844.660194174765</v>
      </c>
      <c r="C28" s="2">
        <v>658.53658536585374</v>
      </c>
      <c r="D28" s="2">
        <v>20555.555555555555</v>
      </c>
      <c r="E28" s="2">
        <v>1523.8095238095239</v>
      </c>
      <c r="F28" s="2">
        <v>104582.56185890571</v>
      </c>
    </row>
    <row r="29" spans="1:6" x14ac:dyDescent="0.2">
      <c r="A29" s="27">
        <v>41000</v>
      </c>
      <c r="B29" s="2">
        <v>86095.238095238092</v>
      </c>
      <c r="C29" s="2">
        <v>756.09756097560978</v>
      </c>
      <c r="D29" s="2">
        <v>26785.714285714286</v>
      </c>
      <c r="E29" s="2">
        <v>1574.0740740740741</v>
      </c>
      <c r="F29" s="2">
        <v>115211.12401600207</v>
      </c>
    </row>
    <row r="30" spans="1:6" x14ac:dyDescent="0.2">
      <c r="A30" s="27">
        <v>41030</v>
      </c>
      <c r="B30" s="2">
        <v>91775.700934579436</v>
      </c>
      <c r="C30" s="2">
        <v>878.04878048780495</v>
      </c>
      <c r="D30" s="2">
        <v>24827.586206896551</v>
      </c>
      <c r="E30" s="2">
        <v>1467.8899082568807</v>
      </c>
      <c r="F30" s="2">
        <v>118949.22583022068</v>
      </c>
    </row>
    <row r="31" spans="1:6" x14ac:dyDescent="0.2">
      <c r="A31" s="27">
        <v>41061</v>
      </c>
      <c r="B31" s="2">
        <v>100679.61165048544</v>
      </c>
      <c r="C31" s="2">
        <v>825</v>
      </c>
      <c r="D31" s="2">
        <v>24736.842105263157</v>
      </c>
      <c r="E31" s="2">
        <v>1559.6330275229359</v>
      </c>
      <c r="F31" s="2">
        <v>127801.08678327154</v>
      </c>
    </row>
    <row r="32" spans="1:6" x14ac:dyDescent="0.2">
      <c r="A32" s="27">
        <v>41091</v>
      </c>
      <c r="B32" s="2">
        <v>86190.476190476198</v>
      </c>
      <c r="C32" s="2">
        <v>756.09756097560978</v>
      </c>
      <c r="D32" s="2">
        <v>24827.586206896551</v>
      </c>
      <c r="E32" s="2">
        <v>1441.4414414414414</v>
      </c>
      <c r="F32" s="2">
        <v>113215.6013997898</v>
      </c>
    </row>
    <row r="33" spans="1:13" x14ac:dyDescent="0.2">
      <c r="A33" s="27">
        <v>41122</v>
      </c>
      <c r="B33" s="2">
        <v>71886.792452830196</v>
      </c>
      <c r="C33" s="2">
        <v>714.28571428571433</v>
      </c>
      <c r="D33" s="2">
        <v>25178.571428571428</v>
      </c>
      <c r="E33" s="2">
        <v>1545.4545454545455</v>
      </c>
      <c r="F33" s="2">
        <v>99325.104141141885</v>
      </c>
    </row>
    <row r="34" spans="1:13" x14ac:dyDescent="0.2">
      <c r="A34" s="27">
        <v>41153</v>
      </c>
      <c r="B34" s="2">
        <v>60000</v>
      </c>
      <c r="C34" s="2">
        <v>651.16279069767438</v>
      </c>
      <c r="D34" s="2">
        <v>24545.454545454544</v>
      </c>
      <c r="E34" s="2">
        <v>1666.6666666666667</v>
      </c>
      <c r="F34" s="2">
        <v>86863.28400281888</v>
      </c>
    </row>
    <row r="35" spans="1:13" ht="13.5" thickBot="1" x14ac:dyDescent="0.25">
      <c r="A35" s="27">
        <v>41183</v>
      </c>
      <c r="B35" s="2">
        <v>55566.037735849059</v>
      </c>
      <c r="C35" s="2">
        <v>642.85714285714289</v>
      </c>
      <c r="D35" s="2">
        <v>19285.714285714286</v>
      </c>
      <c r="E35" s="2">
        <v>1698.1132075471698</v>
      </c>
      <c r="F35" s="2">
        <v>77192.722371967655</v>
      </c>
    </row>
    <row r="36" spans="1:13" x14ac:dyDescent="0.2">
      <c r="A36" s="27">
        <v>41214</v>
      </c>
      <c r="B36" s="2">
        <v>50857.142857142862</v>
      </c>
      <c r="C36" s="2">
        <v>619.04761904761904</v>
      </c>
      <c r="D36" s="2">
        <v>15272.727272727272</v>
      </c>
      <c r="E36" s="2">
        <v>1809.5238095238096</v>
      </c>
      <c r="F36" s="2">
        <v>68558.441558441569</v>
      </c>
      <c r="H36" s="15"/>
      <c r="I36" s="15" t="s">
        <v>23</v>
      </c>
      <c r="J36" s="15" t="s">
        <v>24</v>
      </c>
      <c r="K36" s="15" t="s">
        <v>25</v>
      </c>
      <c r="L36" s="15" t="s">
        <v>26</v>
      </c>
      <c r="M36" s="15" t="s">
        <v>31</v>
      </c>
    </row>
    <row r="37" spans="1:13" x14ac:dyDescent="0.2">
      <c r="A37" s="27">
        <v>41244</v>
      </c>
      <c r="B37" s="2">
        <v>42596.153846153851</v>
      </c>
      <c r="C37" s="2">
        <v>547.61904761904759</v>
      </c>
      <c r="D37" s="2">
        <v>9107.1428571428569</v>
      </c>
      <c r="E37" s="2">
        <v>1730.7692307692309</v>
      </c>
      <c r="F37" s="2">
        <v>53981.684981684986</v>
      </c>
      <c r="H37" s="13" t="s">
        <v>23</v>
      </c>
      <c r="I37" s="13">
        <v>1</v>
      </c>
      <c r="J37" s="13"/>
      <c r="K37" s="13"/>
      <c r="L37" s="13"/>
      <c r="M37" s="13"/>
    </row>
    <row r="38" spans="1:13" x14ac:dyDescent="0.2">
      <c r="A38" s="27">
        <v>41275</v>
      </c>
      <c r="B38" s="2">
        <v>58095.238095238099</v>
      </c>
      <c r="C38" s="2">
        <v>581.39534883720933</v>
      </c>
      <c r="D38" s="2">
        <v>8571.4285714285706</v>
      </c>
      <c r="E38" s="2">
        <v>1886.7924528301887</v>
      </c>
      <c r="F38" s="2">
        <v>69134.854468334073</v>
      </c>
      <c r="H38" s="13" t="s">
        <v>24</v>
      </c>
      <c r="I38" s="13">
        <v>0.83235503624480911</v>
      </c>
      <c r="J38" s="13">
        <v>1</v>
      </c>
      <c r="K38" s="13"/>
      <c r="L38" s="13"/>
      <c r="M38" s="13"/>
    </row>
    <row r="39" spans="1:13" x14ac:dyDescent="0.2">
      <c r="A39" s="27">
        <v>41306</v>
      </c>
      <c r="B39" s="2">
        <v>75566.037735849066</v>
      </c>
      <c r="C39" s="2">
        <v>613.63636363636363</v>
      </c>
      <c r="D39" s="2">
        <v>13157.894736842105</v>
      </c>
      <c r="E39" s="2">
        <v>1844.6601941747574</v>
      </c>
      <c r="F39" s="2">
        <v>91182.229030502291</v>
      </c>
      <c r="H39" s="13" t="s">
        <v>25</v>
      </c>
      <c r="I39" s="13">
        <v>0.67197723010577826</v>
      </c>
      <c r="J39" s="13">
        <v>0.75935642288170002</v>
      </c>
      <c r="K39" s="13">
        <v>1</v>
      </c>
      <c r="L39" s="13"/>
      <c r="M39" s="13"/>
    </row>
    <row r="40" spans="1:13" x14ac:dyDescent="0.2">
      <c r="A40" s="27">
        <v>41334</v>
      </c>
      <c r="B40" s="2">
        <v>80285.71428571429</v>
      </c>
      <c r="C40" s="2">
        <v>622.22222222222217</v>
      </c>
      <c r="D40" s="2">
        <v>19655.172413793101</v>
      </c>
      <c r="E40" s="2">
        <v>1923.0769230769231</v>
      </c>
      <c r="F40" s="2">
        <v>102486.18584480653</v>
      </c>
      <c r="H40" s="13" t="s">
        <v>26</v>
      </c>
      <c r="I40" s="13">
        <v>-0.10408205012913412</v>
      </c>
      <c r="J40" s="13">
        <v>-9.0733528262904733E-2</v>
      </c>
      <c r="K40" s="13">
        <v>-0.25227928670215954</v>
      </c>
      <c r="L40" s="13">
        <v>1</v>
      </c>
      <c r="M40" s="13"/>
    </row>
    <row r="41" spans="1:13" ht="13.5" thickBot="1" x14ac:dyDescent="0.25">
      <c r="A41" s="27">
        <v>41365</v>
      </c>
      <c r="B41" s="2">
        <v>85140.186915887854</v>
      </c>
      <c r="C41" s="2">
        <v>727.27272727272725</v>
      </c>
      <c r="D41" s="2">
        <v>25178.571428571428</v>
      </c>
      <c r="E41" s="2">
        <v>1981.1320754716983</v>
      </c>
      <c r="F41" s="2">
        <v>113027.1631472037</v>
      </c>
      <c r="H41" s="14" t="s">
        <v>31</v>
      </c>
      <c r="I41" s="14">
        <v>0.97450838118807093</v>
      </c>
      <c r="J41" s="14">
        <v>0.87366264581649744</v>
      </c>
      <c r="K41" s="14">
        <v>0.82061520865635895</v>
      </c>
      <c r="L41" s="14">
        <v>-0.14208957822268561</v>
      </c>
      <c r="M41" s="14">
        <v>1</v>
      </c>
    </row>
    <row r="42" spans="1:13" x14ac:dyDescent="0.2">
      <c r="A42" s="27">
        <v>41395</v>
      </c>
      <c r="B42" s="2">
        <v>90092.592592592599</v>
      </c>
      <c r="C42" s="2">
        <v>826.08695652173913</v>
      </c>
      <c r="D42" s="2">
        <v>23103.448275862069</v>
      </c>
      <c r="E42" s="2">
        <v>1809.5238095238096</v>
      </c>
      <c r="F42" s="2">
        <v>115831.65163450023</v>
      </c>
    </row>
    <row r="43" spans="1:13" x14ac:dyDescent="0.2">
      <c r="A43" s="27">
        <v>41426</v>
      </c>
      <c r="B43" s="2">
        <v>95471.698113207545</v>
      </c>
      <c r="C43" s="2">
        <v>782.60869565217388</v>
      </c>
      <c r="D43" s="2">
        <v>24285.714285714286</v>
      </c>
      <c r="E43" s="2">
        <v>1941.7475728155341</v>
      </c>
      <c r="F43" s="2">
        <v>122481.76866738955</v>
      </c>
    </row>
    <row r="44" spans="1:13" x14ac:dyDescent="0.2">
      <c r="A44" s="27">
        <v>41456</v>
      </c>
      <c r="B44" s="2">
        <v>87307.692307692312</v>
      </c>
      <c r="C44" s="2">
        <v>680.85106382978722</v>
      </c>
      <c r="D44" s="2">
        <v>24736.842105263157</v>
      </c>
      <c r="E44" s="2">
        <v>1960.7843137254904</v>
      </c>
      <c r="F44" s="2">
        <v>114686.16979051076</v>
      </c>
    </row>
    <row r="45" spans="1:13" x14ac:dyDescent="0.2">
      <c r="A45" s="27">
        <v>41487</v>
      </c>
      <c r="B45" s="2">
        <v>74476.190476190473</v>
      </c>
      <c r="C45" s="2">
        <v>645.83333333333337</v>
      </c>
      <c r="D45" s="2">
        <v>26607.142857142855</v>
      </c>
      <c r="E45" s="2">
        <v>2000</v>
      </c>
      <c r="F45" s="2">
        <v>103729.16666666666</v>
      </c>
    </row>
    <row r="46" spans="1:13" x14ac:dyDescent="0.2">
      <c r="A46" s="27">
        <v>41518</v>
      </c>
      <c r="B46" s="2">
        <v>61698.113207547169</v>
      </c>
      <c r="C46" s="2">
        <v>625</v>
      </c>
      <c r="D46" s="2">
        <v>22982.456140350878</v>
      </c>
      <c r="E46" s="2">
        <v>2075.4716981132078</v>
      </c>
      <c r="F46" s="2">
        <v>87381.041046011247</v>
      </c>
    </row>
    <row r="47" spans="1:13" x14ac:dyDescent="0.2">
      <c r="A47" s="27">
        <v>41548</v>
      </c>
      <c r="B47" s="2">
        <v>57238.095238095237</v>
      </c>
      <c r="C47" s="2">
        <v>617.02127659574467</v>
      </c>
      <c r="D47" s="2">
        <v>16896.551724137931</v>
      </c>
      <c r="E47" s="2">
        <v>2019.2307692307693</v>
      </c>
      <c r="F47" s="2">
        <v>76770.899008059685</v>
      </c>
    </row>
    <row r="48" spans="1:13" x14ac:dyDescent="0.2">
      <c r="A48" s="27">
        <v>41579</v>
      </c>
      <c r="B48" s="2">
        <v>50673.076923076922</v>
      </c>
      <c r="C48" s="2">
        <v>586.95652173913038</v>
      </c>
      <c r="D48" s="2">
        <v>13750</v>
      </c>
      <c r="E48" s="2">
        <v>2095.2380952380954</v>
      </c>
      <c r="F48" s="2">
        <v>67105.271540054149</v>
      </c>
    </row>
    <row r="49" spans="1:6" x14ac:dyDescent="0.2">
      <c r="A49" s="27">
        <v>41609</v>
      </c>
      <c r="B49" s="2">
        <v>51238.095238095237</v>
      </c>
      <c r="C49" s="2">
        <v>590.90909090909088</v>
      </c>
      <c r="D49" s="2">
        <v>7818.181818181818</v>
      </c>
      <c r="E49" s="2">
        <v>2149.532710280374</v>
      </c>
      <c r="F49" s="2">
        <v>61796.718857466512</v>
      </c>
    </row>
    <row r="50" spans="1:6" x14ac:dyDescent="0.2">
      <c r="A50" s="27">
        <v>41640</v>
      </c>
      <c r="B50" s="2">
        <v>59711.538461538461</v>
      </c>
      <c r="C50" s="2">
        <v>562.5</v>
      </c>
      <c r="D50" s="2">
        <v>7547.1698113207549</v>
      </c>
      <c r="E50" s="2">
        <v>1851.851851851852</v>
      </c>
      <c r="F50" s="2">
        <v>69673.060124711075</v>
      </c>
    </row>
    <row r="51" spans="1:6" x14ac:dyDescent="0.2">
      <c r="A51" s="27">
        <v>41671</v>
      </c>
      <c r="B51" s="2">
        <v>77961.165048543699</v>
      </c>
      <c r="C51" s="2">
        <v>571.42857142857144</v>
      </c>
      <c r="D51" s="2">
        <v>13888.888888888889</v>
      </c>
      <c r="E51" s="2">
        <v>1743.119266055046</v>
      </c>
      <c r="F51" s="2">
        <v>94164.601774916198</v>
      </c>
    </row>
    <row r="52" spans="1:6" x14ac:dyDescent="0.2">
      <c r="A52" s="27">
        <v>41699</v>
      </c>
      <c r="B52" s="2">
        <v>83725.490196078434</v>
      </c>
      <c r="C52" s="2">
        <v>625</v>
      </c>
      <c r="D52" s="2">
        <v>18301.886792452831</v>
      </c>
      <c r="E52" s="2">
        <v>1891.8918918918919</v>
      </c>
      <c r="F52" s="2">
        <v>104544.26888042316</v>
      </c>
    </row>
    <row r="53" spans="1:6" x14ac:dyDescent="0.2">
      <c r="A53" s="27">
        <v>41730</v>
      </c>
      <c r="B53" s="2">
        <v>90297.029702970292</v>
      </c>
      <c r="C53" s="2">
        <v>723.404255319149</v>
      </c>
      <c r="D53" s="2">
        <v>25192.307692307695</v>
      </c>
      <c r="E53" s="2">
        <v>2037.037037037037</v>
      </c>
      <c r="F53" s="2">
        <v>118249.77868763417</v>
      </c>
    </row>
    <row r="54" spans="1:6" x14ac:dyDescent="0.2">
      <c r="A54" s="27">
        <v>41760</v>
      </c>
      <c r="B54" s="2">
        <v>91142.857142857145</v>
      </c>
      <c r="C54" s="2">
        <v>847.82608695652175</v>
      </c>
      <c r="D54" s="2">
        <v>24705.882352941178</v>
      </c>
      <c r="E54" s="2">
        <v>1886.7924528301887</v>
      </c>
      <c r="F54" s="2">
        <v>118583.35803558504</v>
      </c>
    </row>
    <row r="55" spans="1:6" x14ac:dyDescent="0.2">
      <c r="A55" s="27">
        <v>41791</v>
      </c>
      <c r="B55" s="2">
        <v>99320.388349514571</v>
      </c>
      <c r="C55" s="2">
        <v>791.66666666666674</v>
      </c>
      <c r="D55" s="2">
        <v>25306.12244897959</v>
      </c>
      <c r="E55" s="2">
        <v>1944.4444444444446</v>
      </c>
      <c r="F55" s="2">
        <v>127362.62190960527</v>
      </c>
    </row>
    <row r="56" spans="1:6" x14ac:dyDescent="0.2">
      <c r="A56" s="27">
        <v>41821</v>
      </c>
      <c r="B56" s="2">
        <v>93921.568627450994</v>
      </c>
      <c r="C56" s="2">
        <v>744.68085106382978</v>
      </c>
      <c r="D56" s="2">
        <v>27083.333333333332</v>
      </c>
      <c r="E56" s="2">
        <v>2169.8113207547171</v>
      </c>
      <c r="F56" s="2">
        <v>123919.39413260287</v>
      </c>
    </row>
    <row r="57" spans="1:6" x14ac:dyDescent="0.2">
      <c r="A57" s="27">
        <v>41852</v>
      </c>
      <c r="B57" s="2">
        <v>73142.857142857145</v>
      </c>
      <c r="C57" s="2">
        <v>739.13043478260863</v>
      </c>
      <c r="D57" s="2">
        <v>26041.666666666668</v>
      </c>
      <c r="E57" s="2">
        <v>2037.037037037037</v>
      </c>
      <c r="F57" s="2">
        <v>101960.69128134346</v>
      </c>
    </row>
    <row r="58" spans="1:6" x14ac:dyDescent="0.2">
      <c r="A58" s="27">
        <v>41883</v>
      </c>
      <c r="B58" s="2">
        <v>66699.029126213602</v>
      </c>
      <c r="C58" s="2">
        <v>666.66666666666674</v>
      </c>
      <c r="D58" s="2">
        <v>26304.347826086956</v>
      </c>
      <c r="E58" s="2">
        <v>2018.3486238532109</v>
      </c>
      <c r="F58" s="2">
        <v>95688.392242820439</v>
      </c>
    </row>
    <row r="59" spans="1:6" x14ac:dyDescent="0.2">
      <c r="A59" s="27">
        <v>41913</v>
      </c>
      <c r="B59" s="2">
        <v>56476.190476190481</v>
      </c>
      <c r="C59" s="2">
        <v>659.57446808510645</v>
      </c>
      <c r="D59" s="2">
        <v>22558.139534883721</v>
      </c>
      <c r="E59" s="2">
        <v>2072.0720720720719</v>
      </c>
      <c r="F59" s="2">
        <v>81765.976551231375</v>
      </c>
    </row>
    <row r="60" spans="1:6" x14ac:dyDescent="0.2">
      <c r="A60" s="27">
        <v>41944</v>
      </c>
      <c r="B60" s="2">
        <v>51067.961165048546</v>
      </c>
      <c r="C60" s="2">
        <v>625</v>
      </c>
      <c r="D60" s="2">
        <v>14772.727272727274</v>
      </c>
      <c r="E60" s="2">
        <v>2181.818181818182</v>
      </c>
      <c r="F60" s="2">
        <v>68647.506619594002</v>
      </c>
    </row>
    <row r="61" spans="1:6" x14ac:dyDescent="0.2">
      <c r="A61" s="27">
        <v>41974</v>
      </c>
      <c r="B61" s="2">
        <v>46893.203883495145</v>
      </c>
      <c r="C61" s="2">
        <v>608</v>
      </c>
      <c r="D61" s="2">
        <v>6976.7441860465124</v>
      </c>
      <c r="E61" s="2">
        <v>2035.3982300884954</v>
      </c>
      <c r="F61" s="2">
        <v>56509.512966296817</v>
      </c>
    </row>
    <row r="63" spans="1:6" x14ac:dyDescent="0.2">
      <c r="A63" s="5" t="s">
        <v>10</v>
      </c>
      <c r="B63" s="3">
        <f>AVERAGE(IndustryMowerSales[NA])</f>
        <v>72580.886795308514</v>
      </c>
      <c r="C63" s="3">
        <f>AVERAGE(IndustryMowerSales[SA])</f>
        <v>675.84063053258569</v>
      </c>
      <c r="D63" s="3">
        <f>AVERAGE(IndustryMowerSales[Eur])</f>
        <v>21120.054935331173</v>
      </c>
      <c r="E63" s="3">
        <f>AVERAGE(IndustryMowerSales[Pac])</f>
        <v>1628.2275900656498</v>
      </c>
      <c r="F63" s="3">
        <f>AVERAGE(IndustryMowerSales[World])</f>
        <v>96004.167857220833</v>
      </c>
    </row>
    <row r="64" spans="1:6" x14ac:dyDescent="0.2">
      <c r="A64" s="5" t="s">
        <v>27</v>
      </c>
      <c r="B64" s="3">
        <f>MEDIAN(IndustryMowerSales[NA])</f>
        <v>75883.018867924533</v>
      </c>
      <c r="C64" s="3">
        <f>MEDIAN(IndustryMowerSales[SA])</f>
        <v>654.15282392026575</v>
      </c>
      <c r="D64" s="3">
        <f>MEDIAN(IndustryMowerSales[Eur])</f>
        <v>23831.236897274634</v>
      </c>
      <c r="E64" s="3">
        <f>MEDIAN(IndustryMowerSales[Pac])</f>
        <v>1552.5437864887408</v>
      </c>
      <c r="F64" s="3">
        <f>MEDIAN(IndustryMowerSales[World])</f>
        <v>97955.181905676509</v>
      </c>
    </row>
    <row r="65" spans="1:6" x14ac:dyDescent="0.2">
      <c r="A65" s="5" t="s">
        <v>28</v>
      </c>
      <c r="B65" s="3">
        <f>_xlfn.MODE.SNGL(IndustryMowerSales[NA])</f>
        <v>60000</v>
      </c>
      <c r="C65" s="3">
        <f>_xlfn.MODE.SNGL(IndustryMowerSales[SA])</f>
        <v>625</v>
      </c>
      <c r="D65" s="3">
        <f>_xlfn.MODE.SNGL(IndustryMowerSales[Eur])</f>
        <v>29444.444444444445</v>
      </c>
      <c r="E65" s="3">
        <f>_xlfn.MODE.SNGL(IndustryMowerSales[Pac])</f>
        <v>1214.9532710280373</v>
      </c>
      <c r="F65" s="3" t="e">
        <f>_xlfn.MODE.SNGL(IndustryMowerSales[World])</f>
        <v>#N/A</v>
      </c>
    </row>
    <row r="66" spans="1:6" x14ac:dyDescent="0.2">
      <c r="A66" s="5" t="s">
        <v>39</v>
      </c>
      <c r="B66" s="3">
        <f>_xlfn.STDEV.P(IndustryMowerSales[NA])</f>
        <v>16590.090786035362</v>
      </c>
      <c r="C66" s="3">
        <f>_xlfn.STDEV.P(IndustryMowerSales[SA])</f>
        <v>103.26569641339671</v>
      </c>
      <c r="D66" s="3">
        <f>_xlfn.STDEV.P(IndustryMowerSales[Eur])</f>
        <v>6609.7523405962866</v>
      </c>
      <c r="E66" s="3">
        <f>_xlfn.STDEV.P(IndustryMowerSales[Pac])</f>
        <v>328.11559545908926</v>
      </c>
      <c r="F66" s="3">
        <f>_xlfn.STDEV.P(IndustryMowerSales[World])</f>
        <v>21635.689187526732</v>
      </c>
    </row>
  </sheetData>
  <phoneticPr fontId="0" type="noConversion"/>
  <pageMargins left="0.75" right="0.75" top="1" bottom="1" header="0.5" footer="0.5"/>
  <pageSetup scale="79" orientation="portrait" horizontalDpi="4294967292" verticalDpi="0"/>
  <headerFooter alignWithMargins="0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Y66"/>
  <sheetViews>
    <sheetView zoomScale="70" zoomScaleNormal="70" workbookViewId="0">
      <pane ySplit="1" topLeftCell="A2" activePane="bottomLeft" state="frozen"/>
      <selection pane="bottomLeft" activeCell="O57" sqref="O57"/>
    </sheetView>
  </sheetViews>
  <sheetFormatPr defaultColWidth="8.85546875" defaultRowHeight="12.75" x14ac:dyDescent="0.2"/>
  <cols>
    <col min="1" max="1" width="10.42578125" style="5" customWidth="1"/>
    <col min="2" max="2" width="10.42578125" customWidth="1"/>
    <col min="4" max="4" width="10.42578125" customWidth="1"/>
    <col min="6" max="6" width="10.42578125" customWidth="1"/>
    <col min="8" max="9" width="10.42578125" customWidth="1"/>
    <col min="11" max="13" width="10.42578125" customWidth="1"/>
    <col min="15" max="15" width="13.7109375" customWidth="1"/>
    <col min="16" max="16" width="11.85546875" customWidth="1"/>
    <col min="17" max="17" width="11" customWidth="1"/>
    <col min="18" max="18" width="13.140625" customWidth="1"/>
    <col min="19" max="19" width="17" customWidth="1"/>
    <col min="20" max="21" width="11.85546875" customWidth="1"/>
    <col min="22" max="22" width="13.28515625" customWidth="1"/>
    <col min="23" max="23" width="15.7109375" bestFit="1" customWidth="1"/>
    <col min="24" max="25" width="12.42578125" bestFit="1" customWidth="1"/>
    <col min="26" max="26" width="11" bestFit="1" customWidth="1"/>
  </cols>
  <sheetData>
    <row r="1" spans="1:22" ht="42.75" customHeight="1" thickBot="1" x14ac:dyDescent="0.25">
      <c r="A1" s="45" t="s">
        <v>30</v>
      </c>
      <c r="B1" s="45" t="s">
        <v>23</v>
      </c>
      <c r="C1" s="45" t="s">
        <v>24</v>
      </c>
      <c r="D1" s="45" t="s">
        <v>25</v>
      </c>
      <c r="E1" s="45" t="s">
        <v>26</v>
      </c>
      <c r="F1" s="45" t="s">
        <v>15</v>
      </c>
      <c r="G1" s="45" t="s">
        <v>31</v>
      </c>
      <c r="H1" s="45" t="s">
        <v>32</v>
      </c>
      <c r="I1" s="45" t="s">
        <v>33</v>
      </c>
      <c r="J1" s="45" t="s">
        <v>40</v>
      </c>
      <c r="K1" s="45" t="s">
        <v>41</v>
      </c>
      <c r="L1" s="45" t="s">
        <v>37</v>
      </c>
      <c r="M1" s="45" t="s">
        <v>38</v>
      </c>
    </row>
    <row r="2" spans="1:22" ht="13.5" thickTop="1" x14ac:dyDescent="0.2">
      <c r="A2" s="27">
        <v>40179</v>
      </c>
      <c r="B2">
        <v>570</v>
      </c>
      <c r="C2">
        <v>250</v>
      </c>
      <c r="D2">
        <v>560</v>
      </c>
      <c r="E2">
        <v>212</v>
      </c>
      <c r="G2">
        <f>SUM(TractorSales[[#This Row],[NA]],TractorSales[[#This Row],[SA]],TractorSales[[#This Row],[Eur]],TractorSales[[#This Row],[Pac]],TractorSales[[#This Row],[China]])</f>
        <v>1592</v>
      </c>
      <c r="H2" s="25">
        <f>TractorSales[[#This Row],[NA]]/IndustryTractorSales[[#This Row],[NA]]</f>
        <v>7.0000000000000007E-2</v>
      </c>
      <c r="I2" s="25">
        <f>TractorSales[[#This Row],[SA]]/IndustryTractorSales[[#This Row],[SA]]</f>
        <v>0.25406504065040653</v>
      </c>
      <c r="J2" s="25">
        <f>TractorSales[[#This Row],[Eur]]/IndustryTractorSales[[#This Row],[Eur]]</f>
        <v>0.11</v>
      </c>
      <c r="K2" s="25">
        <f>TractorSales[[#This Row],[Pac]]/IndustryTractorSales[[#This Row],[Pac]]</f>
        <v>0.21479229989868287</v>
      </c>
      <c r="L2" s="25">
        <f>TractorSales[[#This Row],[China]]/IndustryTractorSales[[#This Row],[China]]</f>
        <v>0</v>
      </c>
      <c r="M2" s="25">
        <f>TractorSales[[#This Row],[World]]/IndustryTractorSales[[#This Row],[World]]</f>
        <v>0.1028240028921977</v>
      </c>
    </row>
    <row r="3" spans="1:22" x14ac:dyDescent="0.2">
      <c r="A3" s="27">
        <v>40210</v>
      </c>
      <c r="B3">
        <v>611</v>
      </c>
      <c r="C3">
        <v>270</v>
      </c>
      <c r="D3">
        <v>600</v>
      </c>
      <c r="E3">
        <v>230</v>
      </c>
      <c r="G3">
        <f>SUM(TractorSales[[#This Row],[NA]],TractorSales[[#This Row],[SA]],TractorSales[[#This Row],[Eur]],TractorSales[[#This Row],[Pac]],TractorSales[[#This Row],[China]])</f>
        <v>1711</v>
      </c>
      <c r="H3" s="25">
        <f>TractorSales[[#This Row],[NA]]/IndustryTractorSales[[#This Row],[NA]]</f>
        <v>7.1116393442622952E-2</v>
      </c>
      <c r="I3" s="25">
        <f>TractorSales[[#This Row],[SA]]/IndustryTractorSales[[#This Row],[SA]]</f>
        <v>0.25700000000000001</v>
      </c>
      <c r="J3" s="25">
        <f>TractorSales[[#This Row],[Eur]]/IndustryTractorSales[[#This Row],[Eur]]</f>
        <v>0.11300000000000002</v>
      </c>
      <c r="K3" s="25">
        <f>TractorSales[[#This Row],[Pac]]/IndustryTractorSales[[#This Row],[Pac]]</f>
        <v>0.21099999999999999</v>
      </c>
      <c r="L3" s="25">
        <f>TractorSales[[#This Row],[China]]/IndustryTractorSales[[#This Row],[China]]</f>
        <v>0</v>
      </c>
      <c r="M3" s="25">
        <f>TractorSales[[#This Row],[World]]/IndustryTractorSales[[#This Row],[World]]</f>
        <v>0.10480912241644896</v>
      </c>
    </row>
    <row r="4" spans="1:22" x14ac:dyDescent="0.2">
      <c r="A4" s="27">
        <v>40238</v>
      </c>
      <c r="B4">
        <v>630</v>
      </c>
      <c r="C4">
        <v>260</v>
      </c>
      <c r="D4">
        <v>680</v>
      </c>
      <c r="E4">
        <v>240</v>
      </c>
      <c r="G4">
        <f>SUM(TractorSales[[#This Row],[NA]],TractorSales[[#This Row],[SA]],TractorSales[[#This Row],[Eur]],TractorSales[[#This Row],[Pac]],TractorSales[[#This Row],[China]])</f>
        <v>1810</v>
      </c>
      <c r="H4" s="25">
        <f>TractorSales[[#This Row],[NA]]/IndustryTractorSales[[#This Row],[NA]]</f>
        <v>7.2999999999999995E-2</v>
      </c>
      <c r="I4" s="25">
        <f>TractorSales[[#This Row],[SA]]/IndustryTractorSales[[#This Row],[SA]]</f>
        <v>0.25600000000000001</v>
      </c>
      <c r="J4" s="25">
        <f>TractorSales[[#This Row],[Eur]]/IndustryTractorSales[[#This Row],[Eur]]</f>
        <v>0.112</v>
      </c>
      <c r="K4" s="25">
        <f>TractorSales[[#This Row],[Pac]]/IndustryTractorSales[[#This Row],[Pac]]</f>
        <v>0.21300000000000002</v>
      </c>
      <c r="L4" s="25">
        <f>TractorSales[[#This Row],[China]]/IndustryTractorSales[[#This Row],[China]]</f>
        <v>0</v>
      </c>
      <c r="M4" s="25">
        <f>TractorSales[[#This Row],[World]]/IndustryTractorSales[[#This Row],[World]]</f>
        <v>0.10566905043994801</v>
      </c>
    </row>
    <row r="5" spans="1:22" x14ac:dyDescent="0.2">
      <c r="A5" s="27">
        <v>40269</v>
      </c>
      <c r="B5">
        <v>684</v>
      </c>
      <c r="C5">
        <v>270</v>
      </c>
      <c r="D5">
        <v>650</v>
      </c>
      <c r="E5">
        <v>263</v>
      </c>
      <c r="G5">
        <f>SUM(TractorSales[[#This Row],[NA]],TractorSales[[#This Row],[SA]],TractorSales[[#This Row],[Eur]],TractorSales[[#This Row],[Pac]],TractorSales[[#This Row],[China]])</f>
        <v>1867</v>
      </c>
      <c r="H5" s="25">
        <f>TractorSales[[#This Row],[NA]]/IndustryTractorSales[[#This Row],[NA]]</f>
        <v>7.644705882352941E-2</v>
      </c>
      <c r="I5" s="25">
        <f>TractorSales[[#This Row],[SA]]/IndustryTractorSales[[#This Row],[SA]]</f>
        <v>0.26300000000000001</v>
      </c>
      <c r="J5" s="25">
        <f>TractorSales[[#This Row],[Eur]]/IndustryTractorSales[[#This Row],[Eur]]</f>
        <v>0.111</v>
      </c>
      <c r="K5" s="25">
        <f>TractorSales[[#This Row],[Pac]]/IndustryTractorSales[[#This Row],[Pac]]</f>
        <v>0.21748076923076926</v>
      </c>
      <c r="L5" s="25">
        <f>TractorSales[[#This Row],[China]]/IndustryTractorSales[[#This Row],[China]]</f>
        <v>0</v>
      </c>
      <c r="M5" s="25">
        <f>TractorSales[[#This Row],[World]]/IndustryTractorSales[[#This Row],[World]]</f>
        <v>0.10775002238449184</v>
      </c>
    </row>
    <row r="6" spans="1:22" x14ac:dyDescent="0.2">
      <c r="A6" s="27">
        <v>40299</v>
      </c>
      <c r="B6">
        <v>650</v>
      </c>
      <c r="C6">
        <v>280</v>
      </c>
      <c r="D6">
        <v>580</v>
      </c>
      <c r="E6">
        <v>269</v>
      </c>
      <c r="G6">
        <f>SUM(TractorSales[[#This Row],[NA]],TractorSales[[#This Row],[SA]],TractorSales[[#This Row],[Eur]],TractorSales[[#This Row],[Pac]],TractorSales[[#This Row],[China]])</f>
        <v>1779</v>
      </c>
      <c r="H6" s="25">
        <f>TractorSales[[#This Row],[NA]]/IndustryTractorSales[[#This Row],[NA]]</f>
        <v>7.6999999999999999E-2</v>
      </c>
      <c r="I6" s="25">
        <f>TractorSales[[#This Row],[SA]]/IndustryTractorSales[[#This Row],[SA]]</f>
        <v>0.26500000000000001</v>
      </c>
      <c r="J6" s="25">
        <f>TractorSales[[#This Row],[Eur]]/IndustryTractorSales[[#This Row],[Eur]]</f>
        <v>0.11</v>
      </c>
      <c r="K6" s="25">
        <f>TractorSales[[#This Row],[Pac]]/IndustryTractorSales[[#This Row],[Pac]]</f>
        <v>0.22037307692307692</v>
      </c>
      <c r="L6" s="25">
        <f>TractorSales[[#This Row],[China]]/IndustryTractorSales[[#This Row],[China]]</f>
        <v>0</v>
      </c>
      <c r="M6" s="25">
        <f>TractorSales[[#This Row],[World]]/IndustryTractorSales[[#This Row],[World]]</f>
        <v>0.1092916534474262</v>
      </c>
    </row>
    <row r="7" spans="1:22" x14ac:dyDescent="0.2">
      <c r="A7" s="27">
        <v>40330</v>
      </c>
      <c r="B7">
        <v>600</v>
      </c>
      <c r="C7">
        <v>270</v>
      </c>
      <c r="D7">
        <v>590</v>
      </c>
      <c r="E7">
        <v>280</v>
      </c>
      <c r="G7">
        <f>SUM(TractorSales[[#This Row],[NA]],TractorSales[[#This Row],[SA]],TractorSales[[#This Row],[Eur]],TractorSales[[#This Row],[Pac]],TractorSales[[#This Row],[China]])</f>
        <v>1740</v>
      </c>
      <c r="H7" s="25">
        <f>TractorSales[[#This Row],[NA]]/IndustryTractorSales[[#This Row],[NA]]</f>
        <v>0.08</v>
      </c>
      <c r="I7" s="25">
        <f>TractorSales[[#This Row],[SA]]/IndustryTractorSales[[#This Row],[SA]]</f>
        <v>0.26500000000000001</v>
      </c>
      <c r="J7" s="25">
        <f>TractorSales[[#This Row],[Eur]]/IndustryTractorSales[[#This Row],[Eur]]</f>
        <v>0.111</v>
      </c>
      <c r="K7" s="25">
        <f>TractorSales[[#This Row],[Pac]]/IndustryTractorSales[[#This Row],[Pac]]</f>
        <v>0.21099999999999999</v>
      </c>
      <c r="L7" s="25">
        <f>TractorSales[[#This Row],[China]]/IndustryTractorSales[[#This Row],[China]]</f>
        <v>0</v>
      </c>
      <c r="M7" s="25">
        <f>TractorSales[[#This Row],[World]]/IndustryTractorSales[[#This Row],[World]]</f>
        <v>0.11263450022225542</v>
      </c>
      <c r="O7" s="31"/>
      <c r="P7" s="31"/>
      <c r="Q7" s="31"/>
      <c r="R7" s="31"/>
      <c r="S7" s="31"/>
      <c r="T7" s="31"/>
      <c r="U7" s="31"/>
      <c r="V7" s="31"/>
    </row>
    <row r="8" spans="1:22" x14ac:dyDescent="0.2">
      <c r="A8" s="27">
        <v>40360</v>
      </c>
      <c r="B8">
        <v>512</v>
      </c>
      <c r="C8">
        <v>264</v>
      </c>
      <c r="D8">
        <v>760</v>
      </c>
      <c r="E8">
        <v>290</v>
      </c>
      <c r="G8">
        <f>SUM(TractorSales[[#This Row],[NA]],TractorSales[[#This Row],[SA]],TractorSales[[#This Row],[Eur]],TractorSales[[#This Row],[Pac]],TractorSales[[#This Row],[China]])</f>
        <v>1826</v>
      </c>
      <c r="H8" s="25">
        <f>TractorSales[[#This Row],[NA]]/IndustryTractorSales[[#This Row],[NA]]</f>
        <v>8.3325490196078433E-2</v>
      </c>
      <c r="I8" s="25">
        <f>TractorSales[[#This Row],[SA]]/IndustryTractorSales[[#This Row],[SA]]</f>
        <v>0.27009230769230774</v>
      </c>
      <c r="J8" s="25">
        <f>TractorSales[[#This Row],[Eur]]/IndustryTractorSales[[#This Row],[Eur]]</f>
        <v>0.106</v>
      </c>
      <c r="K8" s="25">
        <f>TractorSales[[#This Row],[Pac]]/IndustryTractorSales[[#This Row],[Pac]]</f>
        <v>0.219</v>
      </c>
      <c r="L8" s="25">
        <f>TractorSales[[#This Row],[China]]/IndustryTractorSales[[#This Row],[China]]</f>
        <v>0</v>
      </c>
      <c r="M8" s="25">
        <f>TractorSales[[#This Row],[World]]/IndustryTractorSales[[#This Row],[World]]</f>
        <v>0.11480641802205122</v>
      </c>
      <c r="O8" s="31"/>
      <c r="P8" s="31"/>
      <c r="Q8" s="31"/>
      <c r="R8" s="31"/>
      <c r="S8" s="31"/>
      <c r="T8" s="31"/>
      <c r="U8" s="31"/>
      <c r="V8" s="31"/>
    </row>
    <row r="9" spans="1:22" x14ac:dyDescent="0.2">
      <c r="A9" s="27">
        <v>40391</v>
      </c>
      <c r="B9">
        <v>500</v>
      </c>
      <c r="C9">
        <v>280</v>
      </c>
      <c r="D9">
        <v>645</v>
      </c>
      <c r="E9">
        <v>270</v>
      </c>
      <c r="G9">
        <f>SUM(TractorSales[[#This Row],[NA]],TractorSales[[#This Row],[SA]],TractorSales[[#This Row],[Eur]],TractorSales[[#This Row],[Pac]],TractorSales[[#This Row],[China]])</f>
        <v>1695</v>
      </c>
      <c r="H9" s="25">
        <f>TractorSales[[#This Row],[NA]]/IndustryTractorSales[[#This Row],[NA]]</f>
        <v>8.5000000000000006E-2</v>
      </c>
      <c r="I9" s="25">
        <f>TractorSales[[#This Row],[SA]]/IndustryTractorSales[[#This Row],[SA]]</f>
        <v>0.26500000000000001</v>
      </c>
      <c r="J9" s="25">
        <f>TractorSales[[#This Row],[Eur]]/IndustryTractorSales[[#This Row],[Eur]]</f>
        <v>0.10884375</v>
      </c>
      <c r="K9" s="25">
        <f>TractorSales[[#This Row],[Pac]]/IndustryTractorSales[[#This Row],[Pac]]</f>
        <v>0.21299999999999999</v>
      </c>
      <c r="L9" s="25">
        <f>TractorSales[[#This Row],[China]]/IndustryTractorSales[[#This Row],[China]]</f>
        <v>0</v>
      </c>
      <c r="M9" s="25">
        <f>TractorSales[[#This Row],[World]]/IndustryTractorSales[[#This Row],[World]]</f>
        <v>0.11752479653584073</v>
      </c>
      <c r="O9" s="31"/>
      <c r="P9" s="31"/>
      <c r="Q9" s="31"/>
      <c r="R9" s="31"/>
      <c r="S9" s="31"/>
      <c r="T9" s="31"/>
      <c r="U9" s="31"/>
      <c r="V9" s="31"/>
    </row>
    <row r="10" spans="1:22" x14ac:dyDescent="0.2">
      <c r="A10" s="27">
        <v>40422</v>
      </c>
      <c r="B10">
        <v>478</v>
      </c>
      <c r="C10">
        <v>290</v>
      </c>
      <c r="D10">
        <v>650</v>
      </c>
      <c r="E10">
        <v>263</v>
      </c>
      <c r="G10">
        <f>SUM(TractorSales[[#This Row],[NA]],TractorSales[[#This Row],[SA]],TractorSales[[#This Row],[Eur]],TractorSales[[#This Row],[Pac]],TractorSales[[#This Row],[China]])</f>
        <v>1681</v>
      </c>
      <c r="H10" s="25">
        <f>TractorSales[[#This Row],[NA]]/IndustryTractorSales[[#This Row],[NA]]</f>
        <v>8.5429787234042556E-2</v>
      </c>
      <c r="I10" s="25">
        <f>TractorSales[[#This Row],[SA]]/IndustryTractorSales[[#This Row],[SA]]</f>
        <v>0.26700000000000002</v>
      </c>
      <c r="J10" s="25">
        <f>TractorSales[[#This Row],[Eur]]/IndustryTractorSales[[#This Row],[Eur]]</f>
        <v>0.10699999999999998</v>
      </c>
      <c r="K10" s="25">
        <f>TractorSales[[#This Row],[Pac]]/IndustryTractorSales[[#This Row],[Pac]]</f>
        <v>0.21748076923076926</v>
      </c>
      <c r="L10" s="25">
        <f>TractorSales[[#This Row],[China]]/IndustryTractorSales[[#This Row],[China]]</f>
        <v>0</v>
      </c>
      <c r="M10" s="25">
        <f>TractorSales[[#This Row],[World]]/IndustryTractorSales[[#This Row],[World]]</f>
        <v>0.11789501007013892</v>
      </c>
      <c r="O10" s="31"/>
      <c r="P10" s="31"/>
      <c r="Q10" s="31"/>
      <c r="R10" s="31"/>
      <c r="S10" s="31"/>
      <c r="T10" s="31"/>
      <c r="U10" s="31"/>
      <c r="V10" s="31"/>
    </row>
    <row r="11" spans="1:22" x14ac:dyDescent="0.2">
      <c r="A11" s="27">
        <v>40452</v>
      </c>
      <c r="B11">
        <v>455</v>
      </c>
      <c r="C11">
        <v>280</v>
      </c>
      <c r="D11">
        <v>670</v>
      </c>
      <c r="E11">
        <v>258</v>
      </c>
      <c r="G11">
        <f>SUM(TractorSales[[#This Row],[NA]],TractorSales[[#This Row],[SA]],TractorSales[[#This Row],[Eur]],TractorSales[[#This Row],[Pac]],TractorSales[[#This Row],[China]])</f>
        <v>1663</v>
      </c>
      <c r="H11" s="25">
        <f>TractorSales[[#This Row],[NA]]/IndustryTractorSales[[#This Row],[NA]]</f>
        <v>8.6955555555555536E-2</v>
      </c>
      <c r="I11" s="25">
        <f>TractorSales[[#This Row],[SA]]/IndustryTractorSales[[#This Row],[SA]]</f>
        <v>0.26800000000000002</v>
      </c>
      <c r="J11" s="25">
        <f>TractorSales[[#This Row],[Eur]]/IndustryTractorSales[[#This Row],[Eur]]</f>
        <v>0.106</v>
      </c>
      <c r="K11" s="25">
        <f>TractorSales[[#This Row],[Pac]]/IndustryTractorSales[[#This Row],[Pac]]</f>
        <v>0.22084799999999999</v>
      </c>
      <c r="L11" s="25">
        <f>TractorSales[[#This Row],[China]]/IndustryTractorSales[[#This Row],[China]]</f>
        <v>0</v>
      </c>
      <c r="M11" s="25">
        <f>TractorSales[[#This Row],[World]]/IndustryTractorSales[[#This Row],[World]]</f>
        <v>0.11826775831518782</v>
      </c>
      <c r="O11" s="38"/>
      <c r="P11" s="32"/>
      <c r="Q11" s="32"/>
      <c r="R11" s="32"/>
      <c r="S11" s="32"/>
      <c r="T11" s="31"/>
      <c r="U11" s="31"/>
      <c r="V11" s="31"/>
    </row>
    <row r="12" spans="1:22" x14ac:dyDescent="0.2">
      <c r="A12" s="27">
        <v>40483</v>
      </c>
      <c r="B12">
        <v>407</v>
      </c>
      <c r="C12">
        <v>290</v>
      </c>
      <c r="D12">
        <v>888</v>
      </c>
      <c r="E12">
        <v>240</v>
      </c>
      <c r="G12">
        <f>SUM(TractorSales[[#This Row],[NA]],TractorSales[[#This Row],[SA]],TractorSales[[#This Row],[Eur]],TractorSales[[#This Row],[Pac]],TractorSales[[#This Row],[China]])</f>
        <v>1825</v>
      </c>
      <c r="H12" s="25">
        <f>TractorSales[[#This Row],[NA]]/IndustryTractorSales[[#This Row],[NA]]</f>
        <v>9.0557499999999999E-2</v>
      </c>
      <c r="I12" s="25">
        <f>TractorSales[[#This Row],[SA]]/IndustryTractorSales[[#This Row],[SA]]</f>
        <v>0.26900000000000002</v>
      </c>
      <c r="J12" s="25">
        <f>TractorSales[[#This Row],[Eur]]/IndustryTractorSales[[#This Row],[Eur]]</f>
        <v>0.10595454545454544</v>
      </c>
      <c r="K12" s="25">
        <f>TractorSales[[#This Row],[Pac]]/IndustryTractorSales[[#This Row],[Pac]]</f>
        <v>0.21300000000000002</v>
      </c>
      <c r="L12" s="25">
        <f>TractorSales[[#This Row],[China]]/IndustryTractorSales[[#This Row],[China]]</f>
        <v>0</v>
      </c>
      <c r="M12" s="25">
        <f>TractorSales[[#This Row],[World]]/IndustryTractorSales[[#This Row],[World]]</f>
        <v>0.11867478142617918</v>
      </c>
      <c r="O12" s="22"/>
      <c r="P12" s="13"/>
      <c r="Q12" s="13"/>
      <c r="R12" s="24"/>
      <c r="S12" s="24"/>
      <c r="T12" s="31"/>
      <c r="U12" s="31"/>
      <c r="V12" s="31"/>
    </row>
    <row r="13" spans="1:22" x14ac:dyDescent="0.2">
      <c r="A13" s="27">
        <v>40513</v>
      </c>
      <c r="B13">
        <v>360</v>
      </c>
      <c r="C13">
        <v>280</v>
      </c>
      <c r="D13">
        <v>850</v>
      </c>
      <c r="E13">
        <v>230</v>
      </c>
      <c r="G13">
        <f>SUM(TractorSales[[#This Row],[NA]],TractorSales[[#This Row],[SA]],TractorSales[[#This Row],[Eur]],TractorSales[[#This Row],[Pac]],TractorSales[[#This Row],[China]])</f>
        <v>1720</v>
      </c>
      <c r="H13" s="25">
        <f>TractorSales[[#This Row],[NA]]/IndustryTractorSales[[#This Row],[NA]]</f>
        <v>9.1999999999999998E-2</v>
      </c>
      <c r="I13" s="25">
        <f>TractorSales[[#This Row],[SA]]/IndustryTractorSales[[#This Row],[SA]]</f>
        <v>0.27200000000000002</v>
      </c>
      <c r="J13" s="25">
        <f>TractorSales[[#This Row],[Eur]]/IndustryTractorSales[[#This Row],[Eur]]</f>
        <v>0.107</v>
      </c>
      <c r="K13" s="25">
        <f>TractorSales[[#This Row],[Pac]]/IndustryTractorSales[[#This Row],[Pac]]</f>
        <v>0.21199999999999999</v>
      </c>
      <c r="L13" s="25">
        <f>TractorSales[[#This Row],[China]]/IndustryTractorSales[[#This Row],[China]]</f>
        <v>0</v>
      </c>
      <c r="M13" s="25">
        <f>TractorSales[[#This Row],[World]]/IndustryTractorSales[[#This Row],[World]]</f>
        <v>0.12051327891628642</v>
      </c>
      <c r="O13" s="22"/>
      <c r="P13" s="13"/>
      <c r="Q13" s="13"/>
      <c r="R13" s="24"/>
      <c r="S13" s="24"/>
      <c r="T13" s="31"/>
      <c r="U13" s="31"/>
      <c r="V13" s="31"/>
    </row>
    <row r="14" spans="1:22" x14ac:dyDescent="0.2">
      <c r="A14" s="27">
        <v>40544</v>
      </c>
      <c r="B14">
        <v>571</v>
      </c>
      <c r="C14">
        <v>320</v>
      </c>
      <c r="D14">
        <v>620</v>
      </c>
      <c r="E14">
        <v>250</v>
      </c>
      <c r="G14">
        <f>SUM(TractorSales[[#This Row],[NA]],TractorSales[[#This Row],[SA]],TractorSales[[#This Row],[Eur]],TractorSales[[#This Row],[Pac]],TractorSales[[#This Row],[China]])</f>
        <v>1761</v>
      </c>
      <c r="H14" s="25">
        <f>TractorSales[[#This Row],[NA]]/IndustryTractorSales[[#This Row],[NA]]</f>
        <v>9.6168421052631584E-2</v>
      </c>
      <c r="I14" s="25">
        <f>TractorSales[[#This Row],[SA]]/IndustryTractorSales[[#This Row],[SA]]</f>
        <v>0.27300000000000002</v>
      </c>
      <c r="J14" s="25">
        <f>TractorSales[[#This Row],[Eur]]/IndustryTractorSales[[#This Row],[Eur]]</f>
        <v>0.109</v>
      </c>
      <c r="K14" s="25">
        <f>TractorSales[[#This Row],[Pac]]/IndustryTractorSales[[#This Row],[Pac]]</f>
        <v>0.21100000000000002</v>
      </c>
      <c r="L14" s="25">
        <f>TractorSales[[#This Row],[China]]/IndustryTractorSales[[#This Row],[China]]</f>
        <v>0</v>
      </c>
      <c r="M14" s="25">
        <f>TractorSales[[#This Row],[World]]/IndustryTractorSales[[#This Row],[World]]</f>
        <v>0.12324537455226886</v>
      </c>
      <c r="O14" s="22"/>
      <c r="P14" s="13"/>
      <c r="Q14" s="13"/>
      <c r="R14" s="24"/>
      <c r="S14" s="24"/>
      <c r="T14" s="31"/>
      <c r="U14" s="31"/>
      <c r="V14" s="31"/>
    </row>
    <row r="15" spans="1:22" x14ac:dyDescent="0.2">
      <c r="A15" s="27">
        <v>40575</v>
      </c>
      <c r="B15">
        <v>650</v>
      </c>
      <c r="C15">
        <v>350</v>
      </c>
      <c r="D15">
        <v>760</v>
      </c>
      <c r="E15">
        <v>275</v>
      </c>
      <c r="G15">
        <f>SUM(TractorSales[[#This Row],[NA]],TractorSales[[#This Row],[SA]],TractorSales[[#This Row],[Eur]],TractorSales[[#This Row],[Pac]],TractorSales[[#This Row],[China]])</f>
        <v>2035</v>
      </c>
      <c r="H15" s="25">
        <f>TractorSales[[#This Row],[NA]]/IndustryTractorSales[[#This Row],[NA]]</f>
        <v>9.799999999999999E-2</v>
      </c>
      <c r="I15" s="25">
        <f>TractorSales[[#This Row],[SA]]/IndustryTractorSales[[#This Row],[SA]]</f>
        <v>0.27500000000000002</v>
      </c>
      <c r="J15" s="25">
        <f>TractorSales[[#This Row],[Eur]]/IndustryTractorSales[[#This Row],[Eur]]</f>
        <v>0.108</v>
      </c>
      <c r="K15" s="25">
        <f>TractorSales[[#This Row],[Pac]]/IndustryTractorSales[[#This Row],[Pac]]</f>
        <v>0.21388888888888888</v>
      </c>
      <c r="L15" s="25">
        <f>TractorSales[[#This Row],[China]]/IndustryTractorSales[[#This Row],[China]]</f>
        <v>0</v>
      </c>
      <c r="M15" s="25">
        <f>TractorSales[[#This Row],[World]]/IndustryTractorSales[[#This Row],[World]]</f>
        <v>0.12310851735864987</v>
      </c>
      <c r="O15" s="22"/>
      <c r="P15" s="13"/>
      <c r="Q15" s="13"/>
      <c r="R15" s="24"/>
      <c r="S15" s="24"/>
      <c r="T15" s="31"/>
      <c r="U15" s="31"/>
      <c r="V15" s="31"/>
    </row>
    <row r="16" spans="1:22" x14ac:dyDescent="0.2">
      <c r="A16" s="27">
        <v>40603</v>
      </c>
      <c r="B16">
        <v>740</v>
      </c>
      <c r="C16">
        <v>390</v>
      </c>
      <c r="D16">
        <v>742</v>
      </c>
      <c r="E16">
        <v>270</v>
      </c>
      <c r="G16">
        <f>SUM(TractorSales[[#This Row],[NA]],TractorSales[[#This Row],[SA]],TractorSales[[#This Row],[Eur]],TractorSales[[#This Row],[Pac]],TractorSales[[#This Row],[China]])</f>
        <v>2142</v>
      </c>
      <c r="H16" s="25">
        <f>TractorSales[[#This Row],[NA]]/IndustryTractorSales[[#This Row],[NA]]</f>
        <v>0.10099999999999999</v>
      </c>
      <c r="I16" s="25">
        <f>TractorSales[[#This Row],[SA]]/IndustryTractorSales[[#This Row],[SA]]</f>
        <v>0.27400000000000002</v>
      </c>
      <c r="J16" s="25">
        <f>TractorSales[[#This Row],[Eur]]/IndustryTractorSales[[#This Row],[Eur]]</f>
        <v>0.10628648648648649</v>
      </c>
      <c r="K16" s="25">
        <f>TractorSales[[#This Row],[Pac]]/IndustryTractorSales[[#This Row],[Pac]]</f>
        <v>0.21</v>
      </c>
      <c r="L16" s="25">
        <f>TractorSales[[#This Row],[China]]/IndustryTractorSales[[#This Row],[China]]</f>
        <v>0</v>
      </c>
      <c r="M16" s="25">
        <f>TractorSales[[#This Row],[World]]/IndustryTractorSales[[#This Row],[World]]</f>
        <v>0.12367250742679653</v>
      </c>
      <c r="O16" s="22"/>
      <c r="P16" s="13"/>
      <c r="Q16" s="13"/>
      <c r="R16" s="24"/>
      <c r="S16" s="24"/>
      <c r="T16" s="31"/>
      <c r="U16" s="31"/>
      <c r="V16" s="31"/>
    </row>
    <row r="17" spans="1:22" x14ac:dyDescent="0.2">
      <c r="A17" s="27">
        <v>40634</v>
      </c>
      <c r="B17">
        <v>840</v>
      </c>
      <c r="C17">
        <v>440</v>
      </c>
      <c r="D17">
        <v>780</v>
      </c>
      <c r="E17">
        <v>280</v>
      </c>
      <c r="G17">
        <f>SUM(TractorSales[[#This Row],[NA]],TractorSales[[#This Row],[SA]],TractorSales[[#This Row],[Eur]],TractorSales[[#This Row],[Pac]],TractorSales[[#This Row],[China]])</f>
        <v>2340</v>
      </c>
      <c r="H17" s="25">
        <f>TractorSales[[#This Row],[NA]]/IndustryTractorSales[[#This Row],[NA]]</f>
        <v>0.104</v>
      </c>
      <c r="I17" s="25">
        <f>TractorSales[[#This Row],[SA]]/IndustryTractorSales[[#This Row],[SA]]</f>
        <v>0.27300000000000002</v>
      </c>
      <c r="J17" s="25">
        <f>TractorSales[[#This Row],[Eur]]/IndustryTractorSales[[#This Row],[Eur]]</f>
        <v>0.104</v>
      </c>
      <c r="K17" s="25">
        <f>TractorSales[[#This Row],[Pac]]/IndustryTractorSales[[#This Row],[Pac]]</f>
        <v>0.20799999999999999</v>
      </c>
      <c r="L17" s="25">
        <f>TractorSales[[#This Row],[China]]/IndustryTractorSales[[#This Row],[China]]</f>
        <v>0</v>
      </c>
      <c r="M17" s="25">
        <f>TractorSales[[#This Row],[World]]/IndustryTractorSales[[#This Row],[World]]</f>
        <v>0.12419196584011349</v>
      </c>
      <c r="O17" s="31"/>
      <c r="P17" s="31"/>
      <c r="Q17" s="31"/>
      <c r="R17" s="31"/>
      <c r="S17" s="31"/>
      <c r="T17" s="31"/>
      <c r="U17" s="31"/>
      <c r="V17" s="31"/>
    </row>
    <row r="18" spans="1:22" x14ac:dyDescent="0.2">
      <c r="A18" s="27">
        <v>40664</v>
      </c>
      <c r="B18">
        <v>830</v>
      </c>
      <c r="C18">
        <v>470</v>
      </c>
      <c r="D18">
        <v>690</v>
      </c>
      <c r="E18">
        <v>290</v>
      </c>
      <c r="G18">
        <f>SUM(TractorSales[[#This Row],[NA]],TractorSales[[#This Row],[SA]],TractorSales[[#This Row],[Eur]],TractorSales[[#This Row],[Pac]],TractorSales[[#This Row],[China]])</f>
        <v>2280</v>
      </c>
      <c r="H18" s="25">
        <f>TractorSales[[#This Row],[NA]]/IndustryTractorSales[[#This Row],[NA]]</f>
        <v>0.106</v>
      </c>
      <c r="I18" s="25">
        <f>TractorSales[[#This Row],[SA]]/IndustryTractorSales[[#This Row],[SA]]</f>
        <v>0.27200000000000002</v>
      </c>
      <c r="J18" s="25">
        <f>TractorSales[[#This Row],[Eur]]/IndustryTractorSales[[#This Row],[Eur]]</f>
        <v>0.105</v>
      </c>
      <c r="K18" s="25">
        <f>TractorSales[[#This Row],[Pac]]/IndustryTractorSales[[#This Row],[Pac]]</f>
        <v>0.20899999999999999</v>
      </c>
      <c r="L18" s="25">
        <f>TractorSales[[#This Row],[China]]/IndustryTractorSales[[#This Row],[China]]</f>
        <v>0</v>
      </c>
      <c r="M18" s="25">
        <f>TractorSales[[#This Row],[World]]/IndustryTractorSales[[#This Row],[World]]</f>
        <v>0.1279022145958067</v>
      </c>
      <c r="O18" s="31"/>
      <c r="P18" s="31"/>
      <c r="Q18" s="31"/>
      <c r="R18" s="31"/>
      <c r="S18" s="31"/>
      <c r="T18" s="31"/>
      <c r="U18" s="31"/>
      <c r="V18" s="31"/>
    </row>
    <row r="19" spans="1:22" x14ac:dyDescent="0.2">
      <c r="A19" s="27">
        <v>40695</v>
      </c>
      <c r="B19">
        <v>760</v>
      </c>
      <c r="C19">
        <v>490</v>
      </c>
      <c r="D19">
        <v>721</v>
      </c>
      <c r="E19">
        <v>300</v>
      </c>
      <c r="G19">
        <f>SUM(TractorSales[[#This Row],[NA]],TractorSales[[#This Row],[SA]],TractorSales[[#This Row],[Eur]],TractorSales[[#This Row],[Pac]],TractorSales[[#This Row],[China]])</f>
        <v>2271</v>
      </c>
      <c r="H19" s="25">
        <f>TractorSales[[#This Row],[NA]]/IndustryTractorSales[[#This Row],[NA]]</f>
        <v>0.107</v>
      </c>
      <c r="I19" s="25">
        <f>TractorSales[[#This Row],[SA]]/IndustryTractorSales[[#This Row],[SA]]</f>
        <v>0.27</v>
      </c>
      <c r="J19" s="25">
        <f>TractorSales[[#This Row],[Eur]]/IndustryTractorSales[[#This Row],[Eur]]</f>
        <v>0.10314305555555554</v>
      </c>
      <c r="K19" s="25">
        <f>TractorSales[[#This Row],[Pac]]/IndustryTractorSales[[#This Row],[Pac]]</f>
        <v>0.20699999999999999</v>
      </c>
      <c r="L19" s="25">
        <f>TractorSales[[#This Row],[China]]/IndustryTractorSales[[#This Row],[China]]</f>
        <v>0</v>
      </c>
      <c r="M19" s="25">
        <f>TractorSales[[#This Row],[World]]/IndustryTractorSales[[#This Row],[World]]</f>
        <v>0.12852884709594156</v>
      </c>
      <c r="O19" s="31"/>
      <c r="P19" s="31"/>
      <c r="Q19" s="31"/>
      <c r="R19" s="31"/>
      <c r="S19" s="31"/>
      <c r="T19" s="31"/>
      <c r="U19" s="31"/>
      <c r="V19" s="31"/>
    </row>
    <row r="20" spans="1:22" x14ac:dyDescent="0.2">
      <c r="A20" s="27">
        <v>40725</v>
      </c>
      <c r="B20">
        <v>681</v>
      </c>
      <c r="C20">
        <v>481</v>
      </c>
      <c r="D20">
        <v>680</v>
      </c>
      <c r="E20">
        <v>312</v>
      </c>
      <c r="G20">
        <f>SUM(TractorSales[[#This Row],[NA]],TractorSales[[#This Row],[SA]],TractorSales[[#This Row],[Eur]],TractorSales[[#This Row],[Pac]],TractorSales[[#This Row],[China]])</f>
        <v>2154</v>
      </c>
      <c r="H20" s="25">
        <f>TractorSales[[#This Row],[NA]]/IndustryTractorSales[[#This Row],[NA]]</f>
        <v>0.10916029411764705</v>
      </c>
      <c r="I20" s="25">
        <f>TractorSales[[#This Row],[SA]]/IndustryTractorSales[[#This Row],[SA]]</f>
        <v>0.27083333333333331</v>
      </c>
      <c r="J20" s="25">
        <f>TractorSales[[#This Row],[Eur]]/IndustryTractorSales[[#This Row],[Eur]]</f>
        <v>0.10199999999999999</v>
      </c>
      <c r="K20" s="25">
        <f>TractorSales[[#This Row],[Pac]]/IndustryTractorSales[[#This Row],[Pac]]</f>
        <v>0.20934193548387095</v>
      </c>
      <c r="L20" s="25">
        <f>TractorSales[[#This Row],[China]]/IndustryTractorSales[[#This Row],[China]]</f>
        <v>0</v>
      </c>
      <c r="M20" s="25">
        <f>TractorSales[[#This Row],[World]]/IndustryTractorSales[[#This Row],[World]]</f>
        <v>0.13065169106089786</v>
      </c>
      <c r="O20" s="32"/>
      <c r="P20" s="32"/>
      <c r="Q20" s="32"/>
      <c r="R20" s="32"/>
      <c r="S20" s="32"/>
      <c r="T20" s="44"/>
      <c r="U20" s="32"/>
      <c r="V20" s="31"/>
    </row>
    <row r="21" spans="1:22" x14ac:dyDescent="0.2">
      <c r="A21" s="27">
        <v>40756</v>
      </c>
      <c r="B21">
        <v>670</v>
      </c>
      <c r="C21">
        <v>460</v>
      </c>
      <c r="D21">
        <v>711</v>
      </c>
      <c r="E21">
        <v>305</v>
      </c>
      <c r="G21">
        <f>SUM(TractorSales[[#This Row],[NA]],TractorSales[[#This Row],[SA]],TractorSales[[#This Row],[Eur]],TractorSales[[#This Row],[Pac]],TractorSales[[#This Row],[China]])</f>
        <v>2146</v>
      </c>
      <c r="H21" s="25">
        <f>TractorSales[[#This Row],[NA]]/IndustryTractorSales[[#This Row],[NA]]</f>
        <v>0.11100000000000002</v>
      </c>
      <c r="I21" s="25">
        <f>TractorSales[[#This Row],[SA]]/IndustryTractorSales[[#This Row],[SA]]</f>
        <v>0.27300000000000002</v>
      </c>
      <c r="J21" s="25">
        <f>TractorSales[[#This Row],[Eur]]/IndustryTractorSales[[#This Row],[Eur]]</f>
        <v>0.10514788732394366</v>
      </c>
      <c r="K21" s="25">
        <f>TractorSales[[#This Row],[Pac]]/IndustryTractorSales[[#This Row],[Pac]]</f>
        <v>0.21044999999999997</v>
      </c>
      <c r="L21" s="25">
        <f>TractorSales[[#This Row],[China]]/IndustryTractorSales[[#This Row],[China]]</f>
        <v>0</v>
      </c>
      <c r="M21" s="25">
        <f>TractorSales[[#This Row],[World]]/IndustryTractorSales[[#This Row],[World]]</f>
        <v>0.13205993061976354</v>
      </c>
      <c r="O21" s="13"/>
      <c r="P21" s="13"/>
      <c r="Q21" s="13"/>
      <c r="R21" s="13"/>
      <c r="S21" s="13"/>
      <c r="T21" s="30"/>
      <c r="U21" s="13"/>
      <c r="V21" s="31"/>
    </row>
    <row r="22" spans="1:22" x14ac:dyDescent="0.2">
      <c r="A22" s="27">
        <v>40787</v>
      </c>
      <c r="B22">
        <v>640</v>
      </c>
      <c r="C22">
        <v>460</v>
      </c>
      <c r="D22">
        <v>695</v>
      </c>
      <c r="E22">
        <v>290</v>
      </c>
      <c r="G22">
        <f>SUM(TractorSales[[#This Row],[NA]],TractorSales[[#This Row],[SA]],TractorSales[[#This Row],[Eur]],TractorSales[[#This Row],[Pac]],TractorSales[[#This Row],[China]])</f>
        <v>2085</v>
      </c>
      <c r="H22" s="25">
        <f>TractorSales[[#This Row],[NA]]/IndustryTractorSales[[#This Row],[NA]]</f>
        <v>0.113</v>
      </c>
      <c r="I22" s="25">
        <f>TractorSales[[#This Row],[SA]]/IndustryTractorSales[[#This Row],[SA]]</f>
        <v>0.27400000000000002</v>
      </c>
      <c r="J22" s="25">
        <f>TractorSales[[#This Row],[Eur]]/IndustryTractorSales[[#This Row],[Eur]]</f>
        <v>0.1047536231884058</v>
      </c>
      <c r="K22" s="25">
        <f>TractorSales[[#This Row],[Pac]]/IndustryTractorSales[[#This Row],[Pac]]</f>
        <v>0.20799999999999999</v>
      </c>
      <c r="L22" s="25">
        <f>TractorSales[[#This Row],[China]]/IndustryTractorSales[[#This Row],[China]]</f>
        <v>0</v>
      </c>
      <c r="M22" s="25">
        <f>TractorSales[[#This Row],[World]]/IndustryTractorSales[[#This Row],[World]]</f>
        <v>0.13286690710587609</v>
      </c>
      <c r="O22" s="13"/>
      <c r="P22" s="13"/>
      <c r="Q22" s="13"/>
      <c r="R22" s="13"/>
      <c r="S22" s="13"/>
      <c r="T22" s="13"/>
      <c r="U22" s="13"/>
      <c r="V22" s="31"/>
    </row>
    <row r="23" spans="1:22" x14ac:dyDescent="0.2">
      <c r="A23" s="27">
        <v>40817</v>
      </c>
      <c r="B23">
        <v>620</v>
      </c>
      <c r="C23">
        <v>440</v>
      </c>
      <c r="D23">
        <v>650</v>
      </c>
      <c r="E23">
        <v>260</v>
      </c>
      <c r="G23">
        <f>SUM(TractorSales[[#This Row],[NA]],TractorSales[[#This Row],[SA]],TractorSales[[#This Row],[Eur]],TractorSales[[#This Row],[Pac]],TractorSales[[#This Row],[China]])</f>
        <v>1970</v>
      </c>
      <c r="H23" s="25">
        <f>TractorSales[[#This Row],[NA]]/IndustryTractorSales[[#This Row],[NA]]</f>
        <v>0.11600000000000002</v>
      </c>
      <c r="I23" s="25">
        <f>TractorSales[[#This Row],[SA]]/IndustryTractorSales[[#This Row],[SA]]</f>
        <v>0.27200000000000002</v>
      </c>
      <c r="J23" s="25">
        <f>TractorSales[[#This Row],[Eur]]/IndustryTractorSales[[#This Row],[Eur]]</f>
        <v>0.10299999999999999</v>
      </c>
      <c r="K23" s="25">
        <f>TractorSales[[#This Row],[Pac]]/IndustryTractorSales[[#This Row],[Pac]]</f>
        <v>0.20699999999999996</v>
      </c>
      <c r="L23" s="25">
        <f>TractorSales[[#This Row],[China]]/IndustryTractorSales[[#This Row],[China]]</f>
        <v>0</v>
      </c>
      <c r="M23" s="25">
        <f>TractorSales[[#This Row],[World]]/IndustryTractorSales[[#This Row],[World]]</f>
        <v>0.1327118296519833</v>
      </c>
      <c r="O23" s="13"/>
      <c r="P23" s="13"/>
      <c r="Q23" s="13"/>
      <c r="R23" s="13"/>
      <c r="S23" s="13"/>
      <c r="T23" s="13"/>
      <c r="U23" s="13"/>
      <c r="V23" s="31"/>
    </row>
    <row r="24" spans="1:22" x14ac:dyDescent="0.2">
      <c r="A24" s="27">
        <v>40848</v>
      </c>
      <c r="B24">
        <v>570</v>
      </c>
      <c r="C24">
        <v>436</v>
      </c>
      <c r="D24">
        <v>680</v>
      </c>
      <c r="E24">
        <v>250</v>
      </c>
      <c r="G24">
        <f>SUM(TractorSales[[#This Row],[NA]],TractorSales[[#This Row],[SA]],TractorSales[[#This Row],[Eur]],TractorSales[[#This Row],[Pac]],TractorSales[[#This Row],[China]])</f>
        <v>1936</v>
      </c>
      <c r="H24" s="25">
        <f>TractorSales[[#This Row],[NA]]/IndustryTractorSales[[#This Row],[NA]]</f>
        <v>0.11800000000000001</v>
      </c>
      <c r="I24" s="25">
        <f>TractorSales[[#This Row],[SA]]/IndustryTractorSales[[#This Row],[SA]]</f>
        <v>0.27883720930232558</v>
      </c>
      <c r="J24" s="25">
        <f>TractorSales[[#This Row],[Eur]]/IndustryTractorSales[[#This Row],[Eur]]</f>
        <v>0.105</v>
      </c>
      <c r="K24" s="25">
        <f>TractorSales[[#This Row],[Pac]]/IndustryTractorSales[[#This Row],[Pac]]</f>
        <v>0.20600000000000002</v>
      </c>
      <c r="L24" s="25">
        <f>TractorSales[[#This Row],[China]]/IndustryTractorSales[[#This Row],[China]]</f>
        <v>0</v>
      </c>
      <c r="M24" s="25">
        <f>TractorSales[[#This Row],[World]]/IndustryTractorSales[[#This Row],[World]]</f>
        <v>0.13442645046133325</v>
      </c>
      <c r="O24" s="13"/>
      <c r="P24" s="13"/>
      <c r="Q24" s="13"/>
      <c r="R24" s="13"/>
      <c r="S24" s="13"/>
      <c r="T24" s="13"/>
      <c r="U24" s="13"/>
      <c r="V24" s="31"/>
    </row>
    <row r="25" spans="1:22" x14ac:dyDescent="0.2">
      <c r="A25" s="27">
        <v>40878</v>
      </c>
      <c r="B25">
        <v>533</v>
      </c>
      <c r="C25">
        <v>420</v>
      </c>
      <c r="D25">
        <v>657</v>
      </c>
      <c r="E25">
        <v>240</v>
      </c>
      <c r="G25">
        <f>SUM(TractorSales[[#This Row],[NA]],TractorSales[[#This Row],[SA]],TractorSales[[#This Row],[Eur]],TractorSales[[#This Row],[Pac]],TractorSales[[#This Row],[China]])</f>
        <v>1850</v>
      </c>
      <c r="H25" s="25">
        <f>TractorSales[[#This Row],[NA]]/IndustryTractorSales[[#This Row],[NA]]</f>
        <v>0.11967358490566038</v>
      </c>
      <c r="I25" s="25">
        <f>TractorSales[[#This Row],[SA]]/IndustryTractorSales[[#This Row],[SA]]</f>
        <v>0.27600000000000002</v>
      </c>
      <c r="J25" s="25">
        <f>TractorSales[[#This Row],[Eur]]/IndustryTractorSales[[#This Row],[Eur]]</f>
        <v>0.10512000000000001</v>
      </c>
      <c r="K25" s="25">
        <f>TractorSales[[#This Row],[Pac]]/IndustryTractorSales[[#This Row],[Pac]]</f>
        <v>0.20499999999999999</v>
      </c>
      <c r="L25" s="25">
        <f>TractorSales[[#This Row],[China]]/IndustryTractorSales[[#This Row],[China]]</f>
        <v>0</v>
      </c>
      <c r="M25" s="25">
        <f>TractorSales[[#This Row],[World]]/IndustryTractorSales[[#This Row],[World]]</f>
        <v>0.13487649197062657</v>
      </c>
      <c r="O25" s="31"/>
      <c r="P25" s="31"/>
      <c r="Q25" s="31"/>
      <c r="R25" s="31"/>
      <c r="S25" s="31"/>
      <c r="T25" s="31"/>
      <c r="U25" s="31"/>
      <c r="V25" s="31"/>
    </row>
    <row r="26" spans="1:22" x14ac:dyDescent="0.2">
      <c r="A26" s="27">
        <v>40909</v>
      </c>
      <c r="B26">
        <v>620</v>
      </c>
      <c r="C26">
        <v>510</v>
      </c>
      <c r="D26">
        <v>610</v>
      </c>
      <c r="E26">
        <v>250</v>
      </c>
      <c r="F26">
        <v>10</v>
      </c>
      <c r="G26">
        <f>SUM(TractorSales[[#This Row],[NA]],TractorSales[[#This Row],[SA]],TractorSales[[#This Row],[Eur]],TractorSales[[#This Row],[Pac]],TractorSales[[#This Row],[China]])</f>
        <v>2000</v>
      </c>
      <c r="H26" s="25">
        <f>TractorSales[[#This Row],[NA]]/IndustryTractorSales[[#This Row],[NA]]</f>
        <v>0.11700000000000001</v>
      </c>
      <c r="I26" s="25">
        <f>TractorSales[[#This Row],[SA]]/IndustryTractorSales[[#This Row],[SA]]</f>
        <v>0.27800000000000002</v>
      </c>
      <c r="J26" s="25">
        <f>TractorSales[[#This Row],[Eur]]/IndustryTractorSales[[#This Row],[Eur]]</f>
        <v>0.10299999999999999</v>
      </c>
      <c r="K26" s="25">
        <f>TractorSales[[#This Row],[Pac]]/IndustryTractorSales[[#This Row],[Pac]]</f>
        <v>0.20699999999999999</v>
      </c>
      <c r="L26" s="25">
        <f>TractorSales[[#This Row],[China]]/IndustryTractorSales[[#This Row],[China]]</f>
        <v>2.9999999999999995E-2</v>
      </c>
      <c r="M26" s="25">
        <f>TractorSales[[#This Row],[World]]/IndustryTractorSales[[#This Row],[World]]</f>
        <v>0.13701379260301533</v>
      </c>
      <c r="O26" s="31"/>
      <c r="P26" s="31"/>
      <c r="Q26" s="31"/>
      <c r="R26" s="31"/>
      <c r="S26" s="31"/>
      <c r="T26" s="31"/>
      <c r="U26" s="31"/>
      <c r="V26" s="31"/>
    </row>
    <row r="27" spans="1:22" x14ac:dyDescent="0.2">
      <c r="A27" s="27">
        <v>40940</v>
      </c>
      <c r="B27">
        <v>792</v>
      </c>
      <c r="C27">
        <v>590</v>
      </c>
      <c r="D27">
        <v>680</v>
      </c>
      <c r="E27">
        <v>250</v>
      </c>
      <c r="F27">
        <v>12</v>
      </c>
      <c r="G27">
        <f>SUM(TractorSales[[#This Row],[NA]],TractorSales[[#This Row],[SA]],TractorSales[[#This Row],[Eur]],TractorSales[[#This Row],[Pac]],TractorSales[[#This Row],[China]])</f>
        <v>2324</v>
      </c>
      <c r="H27" s="25">
        <f>TractorSales[[#This Row],[NA]]/IndustryTractorSales[[#This Row],[NA]]</f>
        <v>0.12130632911392403</v>
      </c>
      <c r="I27" s="25">
        <f>TractorSales[[#This Row],[SA]]/IndustryTractorSales[[#This Row],[SA]]</f>
        <v>0.27900000000000003</v>
      </c>
      <c r="J27" s="25">
        <f>TractorSales[[#This Row],[Eur]]/IndustryTractorSales[[#This Row],[Eur]]</f>
        <v>0.10199999999999999</v>
      </c>
      <c r="K27" s="25">
        <f>TractorSales[[#This Row],[Pac]]/IndustryTractorSales[[#This Row],[Pac]]</f>
        <v>0.20600000000000002</v>
      </c>
      <c r="L27" s="25">
        <f>TractorSales[[#This Row],[China]]/IndustryTractorSales[[#This Row],[China]]</f>
        <v>3.8399999999999997E-2</v>
      </c>
      <c r="M27" s="25">
        <f>TractorSales[[#This Row],[World]]/IndustryTractorSales[[#This Row],[World]]</f>
        <v>0.13803442422439038</v>
      </c>
      <c r="O27" s="43"/>
      <c r="P27" s="32"/>
      <c r="Q27" s="43"/>
      <c r="R27" s="32"/>
      <c r="S27" s="31"/>
      <c r="T27" s="31"/>
      <c r="U27" s="31"/>
      <c r="V27" s="31"/>
    </row>
    <row r="28" spans="1:22" x14ac:dyDescent="0.2">
      <c r="A28" s="27">
        <v>40969</v>
      </c>
      <c r="B28">
        <v>890</v>
      </c>
      <c r="C28">
        <v>610</v>
      </c>
      <c r="D28">
        <v>730</v>
      </c>
      <c r="E28">
        <v>260</v>
      </c>
      <c r="F28">
        <v>20</v>
      </c>
      <c r="G28">
        <f>SUM(TractorSales[[#This Row],[NA]],TractorSales[[#This Row],[SA]],TractorSales[[#This Row],[Eur]],TractorSales[[#This Row],[Pac]],TractorSales[[#This Row],[China]])</f>
        <v>2510</v>
      </c>
      <c r="H28" s="25">
        <f>TractorSales[[#This Row],[NA]]/IndustryTractorSales[[#This Row],[NA]]</f>
        <v>0.125</v>
      </c>
      <c r="I28" s="25">
        <f>TractorSales[[#This Row],[SA]]/IndustryTractorSales[[#This Row],[SA]]</f>
        <v>0.27700000000000002</v>
      </c>
      <c r="J28" s="25">
        <f>TractorSales[[#This Row],[Eur]]/IndustryTractorSales[[#This Row],[Eur]]</f>
        <v>0.10099999999999999</v>
      </c>
      <c r="K28" s="25">
        <f>TractorSales[[#This Row],[Pac]]/IndustryTractorSales[[#This Row],[Pac]]</f>
        <v>0.20699999999999996</v>
      </c>
      <c r="L28" s="25">
        <f>TractorSales[[#This Row],[China]]/IndustryTractorSales[[#This Row],[China]]</f>
        <v>3.3000000000000002E-2</v>
      </c>
      <c r="M28" s="25">
        <f>TractorSales[[#This Row],[World]]/IndustryTractorSales[[#This Row],[World]]</f>
        <v>0.13632422461064317</v>
      </c>
      <c r="O28" s="13"/>
      <c r="P28" s="13"/>
      <c r="Q28" s="13"/>
      <c r="R28" s="13"/>
      <c r="S28" s="31"/>
      <c r="T28" s="31"/>
      <c r="U28" s="31"/>
      <c r="V28" s="31"/>
    </row>
    <row r="29" spans="1:22" x14ac:dyDescent="0.2">
      <c r="A29" s="27">
        <v>41000</v>
      </c>
      <c r="B29">
        <v>960</v>
      </c>
      <c r="C29">
        <v>600</v>
      </c>
      <c r="D29">
        <v>820</v>
      </c>
      <c r="E29">
        <v>270</v>
      </c>
      <c r="F29">
        <v>22</v>
      </c>
      <c r="G29">
        <f>SUM(TractorSales[[#This Row],[NA]],TractorSales[[#This Row],[SA]],TractorSales[[#This Row],[Eur]],TractorSales[[#This Row],[Pac]],TractorSales[[#This Row],[China]])</f>
        <v>2672</v>
      </c>
      <c r="H29" s="25">
        <f>TractorSales[[#This Row],[NA]]/IndustryTractorSales[[#This Row],[NA]]</f>
        <v>0.126</v>
      </c>
      <c r="I29" s="25">
        <f>TractorSales[[#This Row],[SA]]/IndustryTractorSales[[#This Row],[SA]]</f>
        <v>0.27900000000000003</v>
      </c>
      <c r="J29" s="25">
        <f>TractorSales[[#This Row],[Eur]]/IndustryTractorSales[[#This Row],[Eur]]</f>
        <v>0.1</v>
      </c>
      <c r="K29" s="25">
        <f>TractorSales[[#This Row],[Pac]]/IndustryTractorSales[[#This Row],[Pac]]</f>
        <v>0.20600000000000002</v>
      </c>
      <c r="L29" s="25">
        <f>TractorSales[[#This Row],[China]]/IndustryTractorSales[[#This Row],[China]]</f>
        <v>3.8500000000000006E-2</v>
      </c>
      <c r="M29" s="25">
        <f>TractorSales[[#This Row],[World]]/IndustryTractorSales[[#This Row],[World]]</f>
        <v>0.13459808900143608</v>
      </c>
      <c r="O29" s="22"/>
      <c r="P29" s="29"/>
      <c r="Q29" s="22"/>
      <c r="R29" s="29"/>
      <c r="S29" s="31"/>
      <c r="T29" s="31"/>
      <c r="U29" s="31"/>
      <c r="V29" s="31"/>
    </row>
    <row r="30" spans="1:22" x14ac:dyDescent="0.2">
      <c r="A30" s="27">
        <v>41030</v>
      </c>
      <c r="B30">
        <v>1040</v>
      </c>
      <c r="C30">
        <v>620</v>
      </c>
      <c r="D30">
        <v>810</v>
      </c>
      <c r="E30">
        <v>290</v>
      </c>
      <c r="F30">
        <v>20</v>
      </c>
      <c r="G30">
        <f>SUM(TractorSales[[#This Row],[NA]],TractorSales[[#This Row],[SA]],TractorSales[[#This Row],[Eur]],TractorSales[[#This Row],[Pac]],TractorSales[[#This Row],[China]])</f>
        <v>2780</v>
      </c>
      <c r="H30" s="25">
        <f>TractorSales[[#This Row],[NA]]/IndustryTractorSales[[#This Row],[NA]]</f>
        <v>0.12399999999999999</v>
      </c>
      <c r="I30" s="25">
        <f>TractorSales[[#This Row],[SA]]/IndustryTractorSales[[#This Row],[SA]]</f>
        <v>0.28000000000000003</v>
      </c>
      <c r="J30" s="25">
        <f>TractorSales[[#This Row],[Eur]]/IndustryTractorSales[[#This Row],[Eur]]</f>
        <v>0.10199999999999999</v>
      </c>
      <c r="K30" s="25">
        <f>TractorSales[[#This Row],[Pac]]/IndustryTractorSales[[#This Row],[Pac]]</f>
        <v>0.20499999999999999</v>
      </c>
      <c r="L30" s="25">
        <f>TractorSales[[#This Row],[China]]/IndustryTractorSales[[#This Row],[China]]</f>
        <v>3.6000000000000004E-2</v>
      </c>
      <c r="M30" s="25">
        <f>TractorSales[[#This Row],[World]]/IndustryTractorSales[[#This Row],[World]]</f>
        <v>0.13552547471564852</v>
      </c>
      <c r="O30" s="13"/>
      <c r="P30" s="13"/>
      <c r="Q30" s="13"/>
      <c r="R30" s="13"/>
      <c r="S30" s="31"/>
      <c r="T30" s="31"/>
      <c r="U30" s="31"/>
      <c r="V30" s="31"/>
    </row>
    <row r="31" spans="1:22" x14ac:dyDescent="0.2">
      <c r="A31" s="27">
        <v>41061</v>
      </c>
      <c r="B31">
        <v>1032</v>
      </c>
      <c r="C31">
        <v>640</v>
      </c>
      <c r="D31">
        <v>807</v>
      </c>
      <c r="E31">
        <v>310</v>
      </c>
      <c r="F31">
        <v>24</v>
      </c>
      <c r="G31">
        <f>SUM(TractorSales[[#This Row],[NA]],TractorSales[[#This Row],[SA]],TractorSales[[#This Row],[Eur]],TractorSales[[#This Row],[Pac]],TractorSales[[#This Row],[China]])</f>
        <v>2813</v>
      </c>
      <c r="H31" s="25">
        <f>TractorSales[[#This Row],[NA]]/IndustryTractorSales[[#This Row],[NA]]</f>
        <v>0.12724660194174758</v>
      </c>
      <c r="I31" s="25">
        <f>TractorSales[[#This Row],[SA]]/IndustryTractorSales[[#This Row],[SA]]</f>
        <v>0.28100000000000003</v>
      </c>
      <c r="J31" s="25">
        <f>TractorSales[[#This Row],[Eur]]/IndustryTractorSales[[#This Row],[Eur]]</f>
        <v>0.10188375</v>
      </c>
      <c r="K31" s="25">
        <f>TractorSales[[#This Row],[Pac]]/IndustryTractorSales[[#This Row],[Pac]]</f>
        <v>0.20399999999999999</v>
      </c>
      <c r="L31" s="25">
        <f>TractorSales[[#This Row],[China]]/IndustryTractorSales[[#This Row],[China]]</f>
        <v>4.5599999999999995E-2</v>
      </c>
      <c r="M31" s="25">
        <f>TractorSales[[#This Row],[World]]/IndustryTractorSales[[#This Row],[World]]</f>
        <v>0.13820018065367667</v>
      </c>
      <c r="O31" s="13"/>
      <c r="P31" s="13"/>
      <c r="Q31" s="13"/>
      <c r="R31" s="13"/>
      <c r="S31" s="31"/>
      <c r="T31" s="31"/>
      <c r="U31" s="31"/>
      <c r="V31" s="31"/>
    </row>
    <row r="32" spans="1:22" x14ac:dyDescent="0.2">
      <c r="A32" s="27">
        <v>41091</v>
      </c>
      <c r="B32">
        <v>1006</v>
      </c>
      <c r="C32">
        <v>590</v>
      </c>
      <c r="D32">
        <v>760</v>
      </c>
      <c r="E32">
        <v>340</v>
      </c>
      <c r="F32">
        <v>20</v>
      </c>
      <c r="G32">
        <f>SUM(TractorSales[[#This Row],[NA]],TractorSales[[#This Row],[SA]],TractorSales[[#This Row],[Eur]],TractorSales[[#This Row],[Pac]],TractorSales[[#This Row],[China]])</f>
        <v>2716</v>
      </c>
      <c r="H32" s="25">
        <f>TractorSales[[#This Row],[NA]]/IndustryTractorSales[[#This Row],[NA]]</f>
        <v>0.129774</v>
      </c>
      <c r="I32" s="25">
        <f>TractorSales[[#This Row],[SA]]/IndustryTractorSales[[#This Row],[SA]]</f>
        <v>0.28100000000000003</v>
      </c>
      <c r="J32" s="25">
        <f>TractorSales[[#This Row],[Eur]]/IndustryTractorSales[[#This Row],[Eur]]</f>
        <v>9.9000000000000005E-2</v>
      </c>
      <c r="K32" s="25">
        <f>TractorSales[[#This Row],[Pac]]/IndustryTractorSales[[#This Row],[Pac]]</f>
        <v>0.20300000000000001</v>
      </c>
      <c r="L32" s="25">
        <f>TractorSales[[#This Row],[China]]/IndustryTractorSales[[#This Row],[China]]</f>
        <v>3.9E-2</v>
      </c>
      <c r="M32" s="25">
        <f>TractorSales[[#This Row],[World]]/IndustryTractorSales[[#This Row],[World]]</f>
        <v>0.13775580771373921</v>
      </c>
      <c r="O32" s="13"/>
      <c r="P32" s="13"/>
      <c r="Q32" s="13"/>
      <c r="R32" s="13"/>
      <c r="S32" s="31"/>
      <c r="T32" s="31"/>
      <c r="U32" s="31"/>
      <c r="V32" s="31"/>
    </row>
    <row r="33" spans="1:25" x14ac:dyDescent="0.2">
      <c r="A33" s="27">
        <v>41122</v>
      </c>
      <c r="B33">
        <v>910</v>
      </c>
      <c r="C33">
        <v>600</v>
      </c>
      <c r="D33">
        <v>720</v>
      </c>
      <c r="E33">
        <v>320</v>
      </c>
      <c r="F33">
        <v>31</v>
      </c>
      <c r="G33">
        <f>SUM(TractorSales[[#This Row],[NA]],TractorSales[[#This Row],[SA]],TractorSales[[#This Row],[Eur]],TractorSales[[#This Row],[Pac]],TractorSales[[#This Row],[China]])</f>
        <v>2581</v>
      </c>
      <c r="H33" s="25">
        <f>TractorSales[[#This Row],[NA]]/IndustryTractorSales[[#This Row],[NA]]</f>
        <v>0.13200000000000001</v>
      </c>
      <c r="I33" s="25">
        <f>TractorSales[[#This Row],[SA]]/IndustryTractorSales[[#This Row],[SA]]</f>
        <v>0.28199999999999997</v>
      </c>
      <c r="J33" s="25">
        <f>TractorSales[[#This Row],[Eur]]/IndustryTractorSales[[#This Row],[Eur]]</f>
        <v>0.1</v>
      </c>
      <c r="K33" s="25">
        <f>TractorSales[[#This Row],[Pac]]/IndustryTractorSales[[#This Row],[Pac]]</f>
        <v>0.20200000000000001</v>
      </c>
      <c r="L33" s="25">
        <f>TractorSales[[#This Row],[China]]/IndustryTractorSales[[#This Row],[China]]</f>
        <v>4.0299999999999996E-2</v>
      </c>
      <c r="M33" s="25">
        <f>TractorSales[[#This Row],[World]]/IndustryTractorSales[[#This Row],[World]]</f>
        <v>0.13895029050214905</v>
      </c>
      <c r="O33" s="13"/>
      <c r="P33" s="13"/>
      <c r="Q33" s="13"/>
      <c r="R33" s="13"/>
      <c r="S33" s="31"/>
      <c r="T33" s="31"/>
      <c r="U33" s="31"/>
      <c r="V33" s="31"/>
    </row>
    <row r="34" spans="1:25" x14ac:dyDescent="0.2">
      <c r="A34" s="27">
        <v>41153</v>
      </c>
      <c r="B34">
        <v>803</v>
      </c>
      <c r="C34">
        <v>670</v>
      </c>
      <c r="D34">
        <v>660</v>
      </c>
      <c r="E34">
        <v>313</v>
      </c>
      <c r="F34">
        <v>30</v>
      </c>
      <c r="G34">
        <f>SUM(TractorSales[[#This Row],[NA]],TractorSales[[#This Row],[SA]],TractorSales[[#This Row],[Eur]],TractorSales[[#This Row],[Pac]],TractorSales[[#This Row],[China]])</f>
        <v>2476</v>
      </c>
      <c r="H34" s="25">
        <f>TractorSales[[#This Row],[NA]]/IndustryTractorSales[[#This Row],[NA]]</f>
        <v>0.13349875</v>
      </c>
      <c r="I34" s="25">
        <f>TractorSales[[#This Row],[SA]]/IndustryTractorSales[[#This Row],[SA]]</f>
        <v>0.28299999999999997</v>
      </c>
      <c r="J34" s="25">
        <f>TractorSales[[#This Row],[Eur]]/IndustryTractorSales[[#This Row],[Eur]]</f>
        <v>9.8000000000000004E-2</v>
      </c>
      <c r="K34" s="25">
        <f>TractorSales[[#This Row],[Pac]]/IndustryTractorSales[[#This Row],[Pac]]</f>
        <v>0.20496451612903227</v>
      </c>
      <c r="L34" s="25">
        <f>TractorSales[[#This Row],[China]]/IndustryTractorSales[[#This Row],[China]]</f>
        <v>0.04</v>
      </c>
      <c r="M34" s="25">
        <f>TractorSales[[#This Row],[World]]/IndustryTractorSales[[#This Row],[World]]</f>
        <v>0.14234534814348312</v>
      </c>
      <c r="O34" s="13"/>
      <c r="P34" s="13"/>
      <c r="Q34" s="13"/>
      <c r="R34" s="13"/>
      <c r="S34" s="31"/>
      <c r="T34" s="31"/>
      <c r="U34" s="31"/>
      <c r="V34" s="31"/>
    </row>
    <row r="35" spans="1:25" x14ac:dyDescent="0.2">
      <c r="A35" s="27">
        <v>41183</v>
      </c>
      <c r="B35">
        <v>730</v>
      </c>
      <c r="C35">
        <v>630</v>
      </c>
      <c r="D35">
        <v>630</v>
      </c>
      <c r="E35">
        <v>290</v>
      </c>
      <c r="F35">
        <v>37</v>
      </c>
      <c r="G35">
        <f>SUM(TractorSales[[#This Row],[NA]],TractorSales[[#This Row],[SA]],TractorSales[[#This Row],[Eur]],TractorSales[[#This Row],[Pac]],TractorSales[[#This Row],[China]])</f>
        <v>2317</v>
      </c>
      <c r="H35" s="25">
        <f>TractorSales[[#This Row],[NA]]/IndustryTractorSales[[#This Row],[NA]]</f>
        <v>0.13600000000000001</v>
      </c>
      <c r="I35" s="25">
        <f>TractorSales[[#This Row],[SA]]/IndustryTractorSales[[#This Row],[SA]]</f>
        <v>0.28499999999999998</v>
      </c>
      <c r="J35" s="25">
        <f>TractorSales[[#This Row],[Eur]]/IndustryTractorSales[[#This Row],[Eur]]</f>
        <v>9.7000000000000003E-2</v>
      </c>
      <c r="K35" s="25">
        <f>TractorSales[[#This Row],[Pac]]/IndustryTractorSales[[#This Row],[Pac]]</f>
        <v>0.20399999999999999</v>
      </c>
      <c r="L35" s="25">
        <f>TractorSales[[#This Row],[China]]/IndustryTractorSales[[#This Row],[China]]</f>
        <v>5.0566666666666663E-2</v>
      </c>
      <c r="M35" s="25">
        <f>TractorSales[[#This Row],[World]]/IndustryTractorSales[[#This Row],[World]]</f>
        <v>0.14279292011510794</v>
      </c>
      <c r="O35" s="13"/>
      <c r="P35" s="13"/>
      <c r="Q35" s="13"/>
      <c r="R35" s="13"/>
      <c r="S35" s="31"/>
      <c r="T35" s="31"/>
      <c r="U35" s="31"/>
      <c r="V35" s="31"/>
    </row>
    <row r="36" spans="1:25" x14ac:dyDescent="0.2">
      <c r="A36" s="27">
        <v>41214</v>
      </c>
      <c r="B36">
        <v>699</v>
      </c>
      <c r="C36">
        <v>710</v>
      </c>
      <c r="D36">
        <v>603</v>
      </c>
      <c r="E36">
        <v>280</v>
      </c>
      <c r="F36">
        <v>32</v>
      </c>
      <c r="G36">
        <f>SUM(TractorSales[[#This Row],[NA]],TractorSales[[#This Row],[SA]],TractorSales[[#This Row],[Eur]],TractorSales[[#This Row],[Pac]],TractorSales[[#This Row],[China]])</f>
        <v>2324</v>
      </c>
      <c r="H36" s="25">
        <f>TractorSales[[#This Row],[NA]]/IndustryTractorSales[[#This Row],[NA]]</f>
        <v>0.14081304347826087</v>
      </c>
      <c r="I36" s="25">
        <f>TractorSales[[#This Row],[SA]]/IndustryTractorSales[[#This Row],[SA]]</f>
        <v>0.28599999999999998</v>
      </c>
      <c r="J36" s="25">
        <f>TractorSales[[#This Row],[Eur]]/IndustryTractorSales[[#This Row],[Eur]]</f>
        <v>9.9495000000000014E-2</v>
      </c>
      <c r="K36" s="25">
        <f>TractorSales[[#This Row],[Pac]]/IndustryTractorSales[[#This Row],[Pac]]</f>
        <v>0.20499999999999999</v>
      </c>
      <c r="L36" s="25">
        <f>TractorSales[[#This Row],[China]]/IndustryTractorSales[[#This Row],[China]]</f>
        <v>4.48E-2</v>
      </c>
      <c r="M36" s="25">
        <f>TractorSales[[#This Row],[World]]/IndustryTractorSales[[#This Row],[World]]</f>
        <v>0.14909581765605653</v>
      </c>
      <c r="O36" t="s">
        <v>42</v>
      </c>
      <c r="R36" s="13"/>
      <c r="S36" t="s">
        <v>43</v>
      </c>
    </row>
    <row r="37" spans="1:25" ht="13.5" thickBot="1" x14ac:dyDescent="0.25">
      <c r="A37" s="27">
        <v>41244</v>
      </c>
      <c r="B37">
        <v>647</v>
      </c>
      <c r="C37">
        <v>570</v>
      </c>
      <c r="D37">
        <v>570</v>
      </c>
      <c r="E37">
        <v>260</v>
      </c>
      <c r="F37">
        <v>33</v>
      </c>
      <c r="G37">
        <f>SUM(TractorSales[[#This Row],[NA]],TractorSales[[#This Row],[SA]],TractorSales[[#This Row],[Eur]],TractorSales[[#This Row],[Pac]],TractorSales[[#This Row],[China]])</f>
        <v>2080</v>
      </c>
      <c r="H37" s="25">
        <f>TractorSales[[#This Row],[NA]]/IndustryTractorSales[[#This Row],[NA]]</f>
        <v>0.14557500000000001</v>
      </c>
      <c r="I37" s="25">
        <f>TractorSales[[#This Row],[SA]]/IndustryTractorSales[[#This Row],[SA]]</f>
        <v>0.28699999999999998</v>
      </c>
      <c r="J37" s="25">
        <f>TractorSales[[#This Row],[Eur]]/IndustryTractorSales[[#This Row],[Eur]]</f>
        <v>9.8000000000000004E-2</v>
      </c>
      <c r="K37" s="25">
        <f>TractorSales[[#This Row],[Pac]]/IndustryTractorSales[[#This Row],[Pac]]</f>
        <v>0.20599999999999999</v>
      </c>
      <c r="L37" s="25">
        <f>TractorSales[[#This Row],[China]]/IndustryTractorSales[[#This Row],[China]]</f>
        <v>4.7299999999999995E-2</v>
      </c>
      <c r="M37" s="25">
        <f>TractorSales[[#This Row],[World]]/IndustryTractorSales[[#This Row],[World]]</f>
        <v>0.14641036933543</v>
      </c>
      <c r="R37" s="13"/>
    </row>
    <row r="38" spans="1:25" ht="13.5" thickBot="1" x14ac:dyDescent="0.25">
      <c r="A38" s="27">
        <v>41275</v>
      </c>
      <c r="B38">
        <v>730</v>
      </c>
      <c r="C38">
        <v>650</v>
      </c>
      <c r="D38">
        <v>500</v>
      </c>
      <c r="E38">
        <v>287</v>
      </c>
      <c r="F38">
        <v>35</v>
      </c>
      <c r="G38">
        <f>SUM(TractorSales[[#This Row],[NA]],TractorSales[[#This Row],[SA]],TractorSales[[#This Row],[Eur]],TractorSales[[#This Row],[Pac]],TractorSales[[#This Row],[China]])</f>
        <v>2202</v>
      </c>
      <c r="H38" s="25">
        <f>TractorSales[[#This Row],[NA]]/IndustryTractorSales[[#This Row],[NA]]</f>
        <v>0.14599999999999999</v>
      </c>
      <c r="I38" s="25">
        <f>TractorSales[[#This Row],[SA]]/IndustryTractorSales[[#This Row],[SA]]</f>
        <v>0.28799999999999998</v>
      </c>
      <c r="J38" s="25">
        <f>TractorSales[[#This Row],[Eur]]/IndustryTractorSales[[#This Row],[Eur]]</f>
        <v>9.9000000000000005E-2</v>
      </c>
      <c r="K38" s="25">
        <f>TractorSales[[#This Row],[Pac]]/IndustryTractorSales[[#This Row],[Pac]]</f>
        <v>0.20909999999999998</v>
      </c>
      <c r="L38" s="25">
        <f>TractorSales[[#This Row],[China]]/IndustryTractorSales[[#This Row],[China]]</f>
        <v>4.8999999999999995E-2</v>
      </c>
      <c r="M38" s="25">
        <f>TractorSales[[#This Row],[World]]/IndustryTractorSales[[#This Row],[World]]</f>
        <v>0.15297738775976547</v>
      </c>
      <c r="O38" s="15" t="s">
        <v>44</v>
      </c>
      <c r="P38" s="15" t="s">
        <v>23</v>
      </c>
      <c r="Q38" s="15" t="s">
        <v>31</v>
      </c>
      <c r="R38" s="13"/>
      <c r="S38" t="s">
        <v>45</v>
      </c>
    </row>
    <row r="39" spans="1:25" x14ac:dyDescent="0.2">
      <c r="A39" s="27">
        <v>41306</v>
      </c>
      <c r="B39">
        <v>930</v>
      </c>
      <c r="C39">
        <v>680</v>
      </c>
      <c r="D39">
        <v>590</v>
      </c>
      <c r="E39">
        <v>290</v>
      </c>
      <c r="F39">
        <v>50</v>
      </c>
      <c r="G39">
        <f>SUM(TractorSales[[#This Row],[NA]],TractorSales[[#This Row],[SA]],TractorSales[[#This Row],[Eur]],TractorSales[[#This Row],[Pac]],TractorSales[[#This Row],[China]])</f>
        <v>2540</v>
      </c>
      <c r="H39" s="25">
        <f>TractorSales[[#This Row],[NA]]/IndustryTractorSales[[#This Row],[NA]]</f>
        <v>0.14800000000000002</v>
      </c>
      <c r="I39" s="25">
        <f>TractorSales[[#This Row],[SA]]/IndustryTractorSales[[#This Row],[SA]]</f>
        <v>0.28899999999999998</v>
      </c>
      <c r="J39" s="25">
        <f>TractorSales[[#This Row],[Eur]]/IndustryTractorSales[[#This Row],[Eur]]</f>
        <v>9.7000000000000003E-2</v>
      </c>
      <c r="K39" s="25">
        <f>TractorSales[[#This Row],[Pac]]/IndustryTractorSales[[#This Row],[Pac]]</f>
        <v>0.20200000000000001</v>
      </c>
      <c r="L39" s="25">
        <f>TractorSales[[#This Row],[China]]/IndustryTractorSales[[#This Row],[China]]</f>
        <v>4.7036688617121354E-2</v>
      </c>
      <c r="M39" s="25">
        <f>TractorSales[[#This Row],[World]]/IndustryTractorSales[[#This Row],[World]]</f>
        <v>0.14752138445400007</v>
      </c>
      <c r="O39" s="13" t="s">
        <v>10</v>
      </c>
      <c r="P39" s="13">
        <v>0.1326235025819277</v>
      </c>
      <c r="Q39" s="13">
        <v>0.13906038623197636</v>
      </c>
      <c r="R39" s="13"/>
      <c r="S39" s="15" t="s">
        <v>46</v>
      </c>
      <c r="T39" s="15" t="s">
        <v>47</v>
      </c>
      <c r="U39" s="15" t="s">
        <v>48</v>
      </c>
      <c r="V39" s="15" t="s">
        <v>49</v>
      </c>
      <c r="W39" s="15" t="s">
        <v>50</v>
      </c>
    </row>
    <row r="40" spans="1:25" x14ac:dyDescent="0.2">
      <c r="A40" s="27">
        <v>41334</v>
      </c>
      <c r="B40">
        <v>1160</v>
      </c>
      <c r="C40">
        <v>724</v>
      </c>
      <c r="D40">
        <v>620</v>
      </c>
      <c r="E40">
        <v>300</v>
      </c>
      <c r="F40">
        <v>63</v>
      </c>
      <c r="G40">
        <f>SUM(TractorSales[[#This Row],[NA]],TractorSales[[#This Row],[SA]],TractorSales[[#This Row],[Eur]],TractorSales[[#This Row],[Pac]],TractorSales[[#This Row],[China]])</f>
        <v>2867</v>
      </c>
      <c r="H40" s="25">
        <f>TractorSales[[#This Row],[NA]]/IndustryTractorSales[[#This Row],[NA]]</f>
        <v>0.14900000000000002</v>
      </c>
      <c r="I40" s="25">
        <f>TractorSales[[#This Row],[SA]]/IndustryTractorSales[[#This Row],[SA]]</f>
        <v>0.29469859154929573</v>
      </c>
      <c r="J40" s="25">
        <f>TractorSales[[#This Row],[Eur]]/IndustryTractorSales[[#This Row],[Eur]]</f>
        <v>9.8000000000000004E-2</v>
      </c>
      <c r="K40" s="25">
        <f>TractorSales[[#This Row],[Pac]]/IndustryTractorSales[[#This Row],[Pac]]</f>
        <v>0.20300000000000001</v>
      </c>
      <c r="L40" s="25">
        <f>TractorSales[[#This Row],[China]]/IndustryTractorSales[[#This Row],[China]]</f>
        <v>4.9841772151898736E-2</v>
      </c>
      <c r="M40" s="25">
        <f>TractorSales[[#This Row],[World]]/IndustryTractorSales[[#This Row],[World]]</f>
        <v>0.14846963823515941</v>
      </c>
      <c r="O40" s="13" t="s">
        <v>50</v>
      </c>
      <c r="P40" s="13">
        <v>1.4417476982845176E-3</v>
      </c>
      <c r="Q40" s="13">
        <v>3.3377249795661906E-4</v>
      </c>
      <c r="R40" s="13"/>
      <c r="S40" s="13" t="s">
        <v>32</v>
      </c>
      <c r="T40" s="13">
        <v>60</v>
      </c>
      <c r="U40" s="47">
        <v>7.9574101549156619</v>
      </c>
      <c r="V40" s="47">
        <v>0.1326235025819277</v>
      </c>
      <c r="W40" s="49">
        <v>1.4417476982845176E-3</v>
      </c>
    </row>
    <row r="41" spans="1:25" x14ac:dyDescent="0.2">
      <c r="A41" s="27">
        <v>41365</v>
      </c>
      <c r="B41">
        <v>1510</v>
      </c>
      <c r="C41">
        <v>730</v>
      </c>
      <c r="D41">
        <v>730</v>
      </c>
      <c r="E41">
        <v>310</v>
      </c>
      <c r="F41">
        <v>68</v>
      </c>
      <c r="G41">
        <f>SUM(TractorSales[[#This Row],[NA]],TractorSales[[#This Row],[SA]],TractorSales[[#This Row],[Eur]],TractorSales[[#This Row],[Pac]],TractorSales[[#This Row],[China]])</f>
        <v>3348</v>
      </c>
      <c r="H41" s="25">
        <f>TractorSales[[#This Row],[NA]]/IndustryTractorSales[[#This Row],[NA]]</f>
        <v>0.152</v>
      </c>
      <c r="I41" s="25">
        <f>TractorSales[[#This Row],[SA]]/IndustryTractorSales[[#This Row],[SA]]</f>
        <v>0.28999999999999998</v>
      </c>
      <c r="J41" s="25">
        <f>TractorSales[[#This Row],[Eur]]/IndustryTractorSales[[#This Row],[Eur]]</f>
        <v>9.6000000000000002E-2</v>
      </c>
      <c r="K41" s="25">
        <f>TractorSales[[#This Row],[Pac]]/IndustryTractorSales[[#This Row],[Pac]]</f>
        <v>0.20499999999999999</v>
      </c>
      <c r="L41" s="25">
        <f>TractorSales[[#This Row],[China]]/IndustryTractorSales[[#This Row],[China]]</f>
        <v>5.0999999999999997E-2</v>
      </c>
      <c r="M41" s="25">
        <f>TractorSales[[#This Row],[World]]/IndustryTractorSales[[#This Row],[World]]</f>
        <v>0.14619355074085894</v>
      </c>
      <c r="O41" s="13" t="s">
        <v>51</v>
      </c>
      <c r="P41" s="13">
        <v>60</v>
      </c>
      <c r="Q41" s="13">
        <v>60</v>
      </c>
      <c r="R41" s="31"/>
      <c r="S41" s="13" t="s">
        <v>33</v>
      </c>
      <c r="T41" s="13">
        <v>60</v>
      </c>
      <c r="U41" s="47">
        <v>16.904817840552361</v>
      </c>
      <c r="V41" s="47">
        <v>0.28174696400920601</v>
      </c>
      <c r="W41" s="49">
        <v>1.5833423384422612E-4</v>
      </c>
    </row>
    <row r="42" spans="1:25" x14ac:dyDescent="0.2">
      <c r="A42" s="27">
        <v>41395</v>
      </c>
      <c r="B42">
        <v>1650</v>
      </c>
      <c r="C42">
        <v>760</v>
      </c>
      <c r="D42">
        <v>740</v>
      </c>
      <c r="E42">
        <v>330</v>
      </c>
      <c r="F42">
        <v>70</v>
      </c>
      <c r="G42">
        <f>SUM(TractorSales[[#This Row],[NA]],TractorSales[[#This Row],[SA]],TractorSales[[#This Row],[Eur]],TractorSales[[#This Row],[Pac]],TractorSales[[#This Row],[China]])</f>
        <v>3550</v>
      </c>
      <c r="H42" s="25">
        <f>TractorSales[[#This Row],[NA]]/IndustryTractorSales[[#This Row],[NA]]</f>
        <v>0.155</v>
      </c>
      <c r="I42" s="25">
        <f>TractorSales[[#This Row],[SA]]/IndustryTractorSales[[#This Row],[SA]]</f>
        <v>0.29099999999999998</v>
      </c>
      <c r="J42" s="25">
        <f>TractorSales[[#This Row],[Eur]]/IndustryTractorSales[[#This Row],[Eur]]</f>
        <v>9.5000000000000001E-2</v>
      </c>
      <c r="K42" s="25">
        <f>TractorSales[[#This Row],[Pac]]/IndustryTractorSales[[#This Row],[Pac]]</f>
        <v>0.20100000000000001</v>
      </c>
      <c r="L42" s="25">
        <f>TractorSales[[#This Row],[China]]/IndustryTractorSales[[#This Row],[China]]</f>
        <v>4.4999999999999998E-2</v>
      </c>
      <c r="M42" s="25">
        <f>TractorSales[[#This Row],[World]]/IndustryTractorSales[[#This Row],[World]]</f>
        <v>0.1464300029703911</v>
      </c>
      <c r="O42" s="13" t="s">
        <v>52</v>
      </c>
      <c r="P42" s="13">
        <v>0.98867724072701146</v>
      </c>
      <c r="Q42" s="13"/>
      <c r="S42" s="13" t="s">
        <v>40</v>
      </c>
      <c r="T42" s="13">
        <v>60</v>
      </c>
      <c r="U42" s="47">
        <v>6.038266861206524</v>
      </c>
      <c r="V42" s="47">
        <v>0.10063778102010873</v>
      </c>
      <c r="W42" s="49">
        <v>3.7886147350953646E-5</v>
      </c>
    </row>
    <row r="43" spans="1:25" x14ac:dyDescent="0.2">
      <c r="A43" s="27">
        <v>41426</v>
      </c>
      <c r="B43">
        <v>1490</v>
      </c>
      <c r="C43">
        <v>800</v>
      </c>
      <c r="D43">
        <v>720</v>
      </c>
      <c r="E43">
        <v>340</v>
      </c>
      <c r="F43">
        <v>82</v>
      </c>
      <c r="G43">
        <f>SUM(TractorSales[[#This Row],[NA]],TractorSales[[#This Row],[SA]],TractorSales[[#This Row],[Eur]],TractorSales[[#This Row],[Pac]],TractorSales[[#This Row],[China]])</f>
        <v>3432</v>
      </c>
      <c r="H43" s="25">
        <f>TractorSales[[#This Row],[NA]]/IndustryTractorSales[[#This Row],[NA]]</f>
        <v>0.15699083342113582</v>
      </c>
      <c r="I43" s="25">
        <f>TractorSales[[#This Row],[SA]]/IndustryTractorSales[[#This Row],[SA]]</f>
        <v>0.29099999999999998</v>
      </c>
      <c r="J43" s="25">
        <f>TractorSales[[#This Row],[Eur]]/IndustryTractorSales[[#This Row],[Eur]]</f>
        <v>9.8000000000000004E-2</v>
      </c>
      <c r="K43" s="25">
        <f>TractorSales[[#This Row],[Pac]]/IndustryTractorSales[[#This Row],[Pac]]</f>
        <v>0.20399999999999999</v>
      </c>
      <c r="L43" s="25">
        <f>TractorSales[[#This Row],[China]]/IndustryTractorSales[[#This Row],[China]]</f>
        <v>4.7149999999999997E-2</v>
      </c>
      <c r="M43" s="25">
        <f>TractorSales[[#This Row],[World]]/IndustryTractorSales[[#This Row],[World]]</f>
        <v>0.149263619088051</v>
      </c>
      <c r="O43" s="13" t="s">
        <v>53</v>
      </c>
      <c r="P43" s="13">
        <v>0</v>
      </c>
      <c r="Q43" s="13"/>
      <c r="S43" s="13" t="s">
        <v>41</v>
      </c>
      <c r="T43" s="13">
        <v>60</v>
      </c>
      <c r="U43" s="47">
        <v>12.354720491079211</v>
      </c>
      <c r="V43" s="47">
        <v>0.20591200818465352</v>
      </c>
      <c r="W43" s="49">
        <v>4.114198849474233E-5</v>
      </c>
    </row>
    <row r="44" spans="1:25" ht="13.5" thickBot="1" x14ac:dyDescent="0.25">
      <c r="A44" s="27">
        <v>41456</v>
      </c>
      <c r="B44">
        <v>1460</v>
      </c>
      <c r="C44">
        <v>840</v>
      </c>
      <c r="D44">
        <v>670</v>
      </c>
      <c r="E44">
        <v>350</v>
      </c>
      <c r="F44">
        <v>80</v>
      </c>
      <c r="G44">
        <f>SUM(TractorSales[[#This Row],[NA]],TractorSales[[#This Row],[SA]],TractorSales[[#This Row],[Eur]],TractorSales[[#This Row],[Pac]],TractorSales[[#This Row],[China]])</f>
        <v>3400</v>
      </c>
      <c r="H44" s="25">
        <f>TractorSales[[#This Row],[NA]]/IndustryTractorSales[[#This Row],[NA]]</f>
        <v>0.159</v>
      </c>
      <c r="I44" s="25">
        <f>TractorSales[[#This Row],[SA]]/IndustryTractorSales[[#This Row],[SA]]</f>
        <v>0.29099999999999998</v>
      </c>
      <c r="J44" s="25">
        <f>TractorSales[[#This Row],[Eur]]/IndustryTractorSales[[#This Row],[Eur]]</f>
        <v>9.6000000000000002E-2</v>
      </c>
      <c r="K44" s="25">
        <f>TractorSales[[#This Row],[Pac]]/IndustryTractorSales[[#This Row],[Pac]]</f>
        <v>0.20200000000000001</v>
      </c>
      <c r="L44" s="25">
        <f>TractorSales[[#This Row],[China]]/IndustryTractorSales[[#This Row],[China]]</f>
        <v>4.7E-2</v>
      </c>
      <c r="M44" s="25">
        <f>TractorSales[[#This Row],[World]]/IndustryTractorSales[[#This Row],[World]]</f>
        <v>0.15122566980641625</v>
      </c>
      <c r="O44" s="13" t="s">
        <v>54</v>
      </c>
      <c r="P44" s="13">
        <v>59</v>
      </c>
      <c r="Q44" s="13"/>
      <c r="S44" s="14" t="s">
        <v>37</v>
      </c>
      <c r="T44" s="14">
        <v>60</v>
      </c>
      <c r="U44" s="48">
        <v>1.6815094575580154</v>
      </c>
      <c r="V44" s="48">
        <v>2.8025157625966923E-2</v>
      </c>
      <c r="W44" s="50">
        <v>5.543269318719217E-4</v>
      </c>
    </row>
    <row r="45" spans="1:25" x14ac:dyDescent="0.2">
      <c r="A45" s="27">
        <v>41487</v>
      </c>
      <c r="B45">
        <v>1390</v>
      </c>
      <c r="C45">
        <v>830</v>
      </c>
      <c r="D45">
        <v>610</v>
      </c>
      <c r="E45">
        <v>341</v>
      </c>
      <c r="F45">
        <v>90</v>
      </c>
      <c r="G45">
        <f>SUM(TractorSales[[#This Row],[NA]],TractorSales[[#This Row],[SA]],TractorSales[[#This Row],[Eur]],TractorSales[[#This Row],[Pac]],TractorSales[[#This Row],[China]])</f>
        <v>3261</v>
      </c>
      <c r="H45" s="25">
        <f>TractorSales[[#This Row],[NA]]/IndustryTractorSales[[#This Row],[NA]]</f>
        <v>0.16300000000000001</v>
      </c>
      <c r="I45" s="25">
        <f>TractorSales[[#This Row],[SA]]/IndustryTractorSales[[#This Row],[SA]]</f>
        <v>0.29299999999999998</v>
      </c>
      <c r="J45" s="25">
        <f>TractorSales[[#This Row],[Eur]]/IndustryTractorSales[[#This Row],[Eur]]</f>
        <v>9.4E-2</v>
      </c>
      <c r="K45" s="25">
        <f>TractorSales[[#This Row],[Pac]]/IndustryTractorSales[[#This Row],[Pac]]</f>
        <v>0.20058823529411765</v>
      </c>
      <c r="L45" s="25">
        <f>TractorSales[[#This Row],[China]]/IndustryTractorSales[[#This Row],[China]]</f>
        <v>4.7E-2</v>
      </c>
      <c r="M45" s="25">
        <f>TractorSales[[#This Row],[World]]/IndustryTractorSales[[#This Row],[World]]</f>
        <v>0.15192437174458628</v>
      </c>
      <c r="O45" s="13" t="s">
        <v>55</v>
      </c>
      <c r="P45" s="13">
        <v>-2.4811286704022852</v>
      </c>
      <c r="Q45" s="13"/>
    </row>
    <row r="46" spans="1:25" x14ac:dyDescent="0.2">
      <c r="A46" s="27">
        <v>41518</v>
      </c>
      <c r="B46">
        <v>1360</v>
      </c>
      <c r="C46">
        <v>820</v>
      </c>
      <c r="D46">
        <v>599</v>
      </c>
      <c r="E46">
        <v>330</v>
      </c>
      <c r="F46">
        <v>100</v>
      </c>
      <c r="G46">
        <f>SUM(TractorSales[[#This Row],[NA]],TractorSales[[#This Row],[SA]],TractorSales[[#This Row],[Eur]],TractorSales[[#This Row],[Pac]],TractorSales[[#This Row],[China]])</f>
        <v>3209</v>
      </c>
      <c r="H46" s="25">
        <f>TractorSales[[#This Row],[NA]]/IndustryTractorSales[[#This Row],[NA]]</f>
        <v>0.16400000000000001</v>
      </c>
      <c r="I46" s="25">
        <f>TractorSales[[#This Row],[SA]]/IndustryTractorSales[[#This Row],[SA]]</f>
        <v>0.29399999999999998</v>
      </c>
      <c r="J46" s="25">
        <f>TractorSales[[#This Row],[Eur]]/IndustryTractorSales[[#This Row],[Eur]]</f>
        <v>9.4841666666666657E-2</v>
      </c>
      <c r="K46" s="25">
        <f>TractorSales[[#This Row],[Pac]]/IndustryTractorSales[[#This Row],[Pac]]</f>
        <v>0.20100000000000001</v>
      </c>
      <c r="L46" s="25">
        <f>TractorSales[[#This Row],[China]]/IndustryTractorSales[[#This Row],[China]]</f>
        <v>4.7999999999999994E-2</v>
      </c>
      <c r="M46" s="25">
        <f>TractorSales[[#This Row],[World]]/IndustryTractorSales[[#This Row],[World]]</f>
        <v>0.15192177668526927</v>
      </c>
      <c r="O46" s="13" t="s">
        <v>56</v>
      </c>
      <c r="P46" s="13">
        <v>7.9832100728319307E-3</v>
      </c>
      <c r="Q46" s="13"/>
    </row>
    <row r="47" spans="1:25" ht="13.5" thickBot="1" x14ac:dyDescent="0.25">
      <c r="A47" s="27">
        <v>41548</v>
      </c>
      <c r="B47">
        <v>1340</v>
      </c>
      <c r="C47">
        <v>810</v>
      </c>
      <c r="D47">
        <v>560</v>
      </c>
      <c r="E47">
        <v>320</v>
      </c>
      <c r="F47">
        <v>102</v>
      </c>
      <c r="G47">
        <f>SUM(TractorSales[[#This Row],[NA]],TractorSales[[#This Row],[SA]],TractorSales[[#This Row],[Eur]],TractorSales[[#This Row],[Pac]],TractorSales[[#This Row],[China]])</f>
        <v>3132</v>
      </c>
      <c r="H47" s="25">
        <f>TractorSales[[#This Row],[NA]]/IndustryTractorSales[[#This Row],[NA]]</f>
        <v>0.16300000000000001</v>
      </c>
      <c r="I47" s="25">
        <f>TractorSales[[#This Row],[SA]]/IndustryTractorSales[[#This Row],[SA]]</f>
        <v>0.29299999999999998</v>
      </c>
      <c r="J47" s="25">
        <f>TractorSales[[#This Row],[Eur]]/IndustryTractorSales[[#This Row],[Eur]]</f>
        <v>9.6000000000000002E-2</v>
      </c>
      <c r="K47" s="25">
        <f>TractorSales[[#This Row],[Pac]]/IndustryTractorSales[[#This Row],[Pac]]</f>
        <v>0.20300000000000001</v>
      </c>
      <c r="L47" s="25">
        <f>TractorSales[[#This Row],[China]]/IndustryTractorSales[[#This Row],[China]]</f>
        <v>4.7940000000000003E-2</v>
      </c>
      <c r="M47" s="25">
        <f>TractorSales[[#This Row],[World]]/IndustryTractorSales[[#This Row],[World]]</f>
        <v>0.15261141220628024</v>
      </c>
      <c r="O47" s="13" t="s">
        <v>57</v>
      </c>
      <c r="P47" s="13">
        <v>1.6710930321038957</v>
      </c>
      <c r="Q47" s="13"/>
      <c r="S47" t="s">
        <v>58</v>
      </c>
    </row>
    <row r="48" spans="1:25" x14ac:dyDescent="0.2">
      <c r="A48" s="27">
        <v>41579</v>
      </c>
      <c r="B48">
        <v>1240</v>
      </c>
      <c r="C48">
        <v>827</v>
      </c>
      <c r="D48">
        <v>550</v>
      </c>
      <c r="E48">
        <v>300</v>
      </c>
      <c r="F48">
        <v>110</v>
      </c>
      <c r="G48">
        <f>SUM(TractorSales[[#This Row],[NA]],TractorSales[[#This Row],[SA]],TractorSales[[#This Row],[Eur]],TractorSales[[#This Row],[Pac]],TractorSales[[#This Row],[China]])</f>
        <v>3027</v>
      </c>
      <c r="H48" s="25">
        <f>TractorSales[[#This Row],[NA]]/IndustryTractorSales[[#This Row],[NA]]</f>
        <v>0.16600000000000001</v>
      </c>
      <c r="I48" s="25">
        <f>TractorSales[[#This Row],[SA]]/IndustryTractorSales[[#This Row],[SA]]</f>
        <v>0.30119135802469138</v>
      </c>
      <c r="J48" s="25">
        <f>TractorSales[[#This Row],[Eur]]/IndustryTractorSales[[#This Row],[Eur]]</f>
        <v>9.4999999999999987E-2</v>
      </c>
      <c r="K48" s="25">
        <f>TractorSales[[#This Row],[Pac]]/IndustryTractorSales[[#This Row],[Pac]]</f>
        <v>0.20099999999999998</v>
      </c>
      <c r="L48" s="25">
        <f>TractorSales[[#This Row],[China]]/IndustryTractorSales[[#This Row],[China]]</f>
        <v>4.8000000000000001E-2</v>
      </c>
      <c r="M48" s="25">
        <f>TractorSales[[#This Row],[World]]/IndustryTractorSales[[#This Row],[World]]</f>
        <v>0.15296129509129963</v>
      </c>
      <c r="O48" s="13" t="s">
        <v>59</v>
      </c>
      <c r="P48" s="13">
        <v>1.5966420145663861E-2</v>
      </c>
      <c r="Q48" s="13"/>
      <c r="S48" s="15" t="s">
        <v>60</v>
      </c>
      <c r="T48" s="15" t="s">
        <v>61</v>
      </c>
      <c r="U48" s="15" t="s">
        <v>54</v>
      </c>
      <c r="V48" s="15" t="s">
        <v>62</v>
      </c>
      <c r="W48" s="15" t="s">
        <v>63</v>
      </c>
      <c r="X48" s="15" t="s">
        <v>64</v>
      </c>
      <c r="Y48" s="15" t="s">
        <v>65</v>
      </c>
    </row>
    <row r="49" spans="1:25" ht="13.5" thickBot="1" x14ac:dyDescent="0.25">
      <c r="A49" s="27">
        <v>41609</v>
      </c>
      <c r="B49">
        <v>1103</v>
      </c>
      <c r="C49">
        <v>750</v>
      </c>
      <c r="D49">
        <v>520</v>
      </c>
      <c r="E49">
        <v>290</v>
      </c>
      <c r="F49">
        <v>114</v>
      </c>
      <c r="G49">
        <f>SUM(TractorSales[[#This Row],[NA]],TractorSales[[#This Row],[SA]],TractorSales[[#This Row],[Eur]],TractorSales[[#This Row],[Pac]],TractorSales[[#This Row],[China]])</f>
        <v>2777</v>
      </c>
      <c r="H49" s="25">
        <f>TractorSales[[#This Row],[NA]]/IndustryTractorSales[[#This Row],[NA]]</f>
        <v>0.16946090909090911</v>
      </c>
      <c r="I49" s="25">
        <f>TractorSales[[#This Row],[SA]]/IndustryTractorSales[[#This Row],[SA]]</f>
        <v>0.29599999999999999</v>
      </c>
      <c r="J49" s="25">
        <f>TractorSales[[#This Row],[Eur]]/IndustryTractorSales[[#This Row],[Eur]]</f>
        <v>9.2999999999999999E-2</v>
      </c>
      <c r="K49" s="25">
        <f>TractorSales[[#This Row],[Pac]]/IndustryTractorSales[[#This Row],[Pac]]</f>
        <v>0.2</v>
      </c>
      <c r="L49" s="25">
        <f>TractorSales[[#This Row],[China]]/IndustryTractorSales[[#This Row],[China]]</f>
        <v>5.0781818181818185E-2</v>
      </c>
      <c r="M49" s="25">
        <f>TractorSales[[#This Row],[World]]/IndustryTractorSales[[#This Row],[World]]</f>
        <v>0.15150890761026536</v>
      </c>
      <c r="O49" s="14" t="s">
        <v>66</v>
      </c>
      <c r="P49" s="14">
        <v>2.0009953780882688</v>
      </c>
      <c r="Q49" s="14"/>
      <c r="S49" s="13" t="s">
        <v>67</v>
      </c>
      <c r="T49" s="47">
        <v>2.2859775750973741</v>
      </c>
      <c r="U49" s="47">
        <v>4</v>
      </c>
      <c r="V49" s="47">
        <v>0.57149439377434352</v>
      </c>
      <c r="W49" s="47">
        <v>1279.4056734388619</v>
      </c>
      <c r="X49" s="49">
        <v>5.8702843761628659E-185</v>
      </c>
      <c r="Y49" s="47">
        <v>2.402248490424578</v>
      </c>
    </row>
    <row r="50" spans="1:25" x14ac:dyDescent="0.2">
      <c r="A50" s="27">
        <v>41640</v>
      </c>
      <c r="B50">
        <v>1250</v>
      </c>
      <c r="C50">
        <v>780</v>
      </c>
      <c r="D50">
        <v>480</v>
      </c>
      <c r="E50">
        <v>200</v>
      </c>
      <c r="F50">
        <v>111</v>
      </c>
      <c r="G50">
        <f>SUM(TractorSales[[#This Row],[NA]],TractorSales[[#This Row],[SA]],TractorSales[[#This Row],[Eur]],TractorSales[[#This Row],[Pac]],TractorSales[[#This Row],[China]])</f>
        <v>2821</v>
      </c>
      <c r="H50" s="25">
        <f>TractorSales[[#This Row],[NA]]/IndustryTractorSales[[#This Row],[NA]]</f>
        <v>0.17200000000000001</v>
      </c>
      <c r="I50" s="25">
        <f>TractorSales[[#This Row],[SA]]/IndustryTractorSales[[#This Row],[SA]]</f>
        <v>0.29599999999999999</v>
      </c>
      <c r="J50" s="25">
        <f>TractorSales[[#This Row],[Eur]]/IndustryTractorSales[[#This Row],[Eur]]</f>
        <v>9.4E-2</v>
      </c>
      <c r="K50" s="25">
        <f>TractorSales[[#This Row],[Pac]]/IndustryTractorSales[[#This Row],[Pac]]</f>
        <v>0.19800000000000001</v>
      </c>
      <c r="L50" s="25">
        <f>TractorSales[[#This Row],[China]]/IndustryTractorSales[[#This Row],[China]]</f>
        <v>4.8436363636363639E-2</v>
      </c>
      <c r="M50" s="25">
        <f>TractorSales[[#This Row],[World]]/IndustryTractorSales[[#This Row],[World]]</f>
        <v>0.15406269230550576</v>
      </c>
      <c r="S50" s="13" t="s">
        <v>68</v>
      </c>
      <c r="T50" s="47">
        <v>0.13177278299093589</v>
      </c>
      <c r="U50" s="47">
        <v>295</v>
      </c>
      <c r="V50" s="49">
        <v>4.466873999692742E-4</v>
      </c>
      <c r="W50" s="47"/>
      <c r="X50" s="47"/>
      <c r="Y50" s="47"/>
    </row>
    <row r="51" spans="1:25" x14ac:dyDescent="0.2">
      <c r="A51" s="27">
        <v>41671</v>
      </c>
      <c r="B51">
        <v>1550</v>
      </c>
      <c r="C51">
        <v>805</v>
      </c>
      <c r="D51">
        <v>523</v>
      </c>
      <c r="E51">
        <v>210</v>
      </c>
      <c r="F51">
        <v>121</v>
      </c>
      <c r="G51">
        <f>SUM(TractorSales[[#This Row],[NA]],TractorSales[[#This Row],[SA]],TractorSales[[#This Row],[Eur]],TractorSales[[#This Row],[Pac]],TractorSales[[#This Row],[China]])</f>
        <v>3209</v>
      </c>
      <c r="H51" s="25">
        <f>TractorSales[[#This Row],[NA]]/IndustryTractorSales[[#This Row],[NA]]</f>
        <v>0.17600000000000005</v>
      </c>
      <c r="I51" s="25">
        <f>TractorSales[[#This Row],[SA]]/IndustryTractorSales[[#This Row],[SA]]</f>
        <v>0.29784999999999995</v>
      </c>
      <c r="J51" s="25">
        <f>TractorSales[[#This Row],[Eur]]/IndustryTractorSales[[#This Row],[Eur]]</f>
        <v>9.5548076923076916E-2</v>
      </c>
      <c r="K51" s="25">
        <f>TractorSales[[#This Row],[Pac]]/IndustryTractorSales[[#This Row],[Pac]]</f>
        <v>0.20100000000000004</v>
      </c>
      <c r="L51" s="25">
        <f>TractorSales[[#This Row],[China]]/IndustryTractorSales[[#This Row],[China]]</f>
        <v>4.9408333333333339E-2</v>
      </c>
      <c r="M51" s="25">
        <f>TractorSales[[#This Row],[World]]/IndustryTractorSales[[#This Row],[World]]</f>
        <v>0.15671270899804426</v>
      </c>
      <c r="S51" s="13"/>
      <c r="T51" s="47"/>
      <c r="U51" s="47"/>
      <c r="V51" s="47"/>
      <c r="W51" s="47"/>
      <c r="X51" s="47"/>
      <c r="Y51" s="47"/>
    </row>
    <row r="52" spans="1:25" ht="13.5" thickBot="1" x14ac:dyDescent="0.25">
      <c r="A52" s="27">
        <v>41699</v>
      </c>
      <c r="B52">
        <v>1820</v>
      </c>
      <c r="C52">
        <v>830</v>
      </c>
      <c r="D52">
        <v>560</v>
      </c>
      <c r="E52">
        <v>220</v>
      </c>
      <c r="F52">
        <v>123</v>
      </c>
      <c r="G52">
        <f>SUM(TractorSales[[#This Row],[NA]],TractorSales[[#This Row],[SA]],TractorSales[[#This Row],[Eur]],TractorSales[[#This Row],[Pac]],TractorSales[[#This Row],[China]])</f>
        <v>3553</v>
      </c>
      <c r="H52" s="25">
        <f>TractorSales[[#This Row],[NA]]/IndustryTractorSales[[#This Row],[NA]]</f>
        <v>0.17900000000000002</v>
      </c>
      <c r="I52" s="25">
        <f>TractorSales[[#This Row],[SA]]/IndustryTractorSales[[#This Row],[SA]]</f>
        <v>0.29699999999999999</v>
      </c>
      <c r="J52" s="25">
        <f>TractorSales[[#This Row],[Eur]]/IndustryTractorSales[[#This Row],[Eur]]</f>
        <v>9.2999999999999999E-2</v>
      </c>
      <c r="K52" s="25">
        <f>TractorSales[[#This Row],[Pac]]/IndustryTractorSales[[#This Row],[Pac]]</f>
        <v>0.19899999999999998</v>
      </c>
      <c r="L52" s="25">
        <f>TractorSales[[#This Row],[China]]/IndustryTractorSales[[#This Row],[China]]</f>
        <v>5.1249999999999997E-2</v>
      </c>
      <c r="M52" s="25">
        <f>TractorSales[[#This Row],[World]]/IndustryTractorSales[[#This Row],[World]]</f>
        <v>0.1579866387336801</v>
      </c>
      <c r="S52" s="14" t="s">
        <v>69</v>
      </c>
      <c r="T52" s="48">
        <v>2.41775035808831</v>
      </c>
      <c r="U52" s="48">
        <v>299</v>
      </c>
      <c r="V52" s="48"/>
      <c r="W52" s="48"/>
      <c r="X52" s="48"/>
      <c r="Y52" s="48"/>
    </row>
    <row r="53" spans="1:25" x14ac:dyDescent="0.2">
      <c r="A53" s="27">
        <v>41730</v>
      </c>
      <c r="B53">
        <v>2010</v>
      </c>
      <c r="C53">
        <v>890</v>
      </c>
      <c r="D53">
        <v>570</v>
      </c>
      <c r="E53">
        <v>230</v>
      </c>
      <c r="F53">
        <v>120</v>
      </c>
      <c r="G53">
        <f>SUM(TractorSales[[#This Row],[NA]],TractorSales[[#This Row],[SA]],TractorSales[[#This Row],[Eur]],TractorSales[[#This Row],[Pac]],TractorSales[[#This Row],[China]])</f>
        <v>3820</v>
      </c>
      <c r="H53" s="25">
        <f>TractorSales[[#This Row],[NA]]/IndustryTractorSales[[#This Row],[NA]]</f>
        <v>0.18200000000000002</v>
      </c>
      <c r="I53" s="25">
        <f>TractorSales[[#This Row],[SA]]/IndustryTractorSales[[#This Row],[SA]]</f>
        <v>0.29699999999999999</v>
      </c>
      <c r="J53" s="25">
        <f>TractorSales[[#This Row],[Eur]]/IndustryTractorSales[[#This Row],[Eur]]</f>
        <v>9.4E-2</v>
      </c>
      <c r="K53" s="25">
        <f>TractorSales[[#This Row],[Pac]]/IndustryTractorSales[[#This Row],[Pac]]</f>
        <v>0.2</v>
      </c>
      <c r="L53" s="25">
        <f>TractorSales[[#This Row],[China]]/IndustryTractorSales[[#This Row],[China]]</f>
        <v>5.0999999999999997E-2</v>
      </c>
      <c r="M53" s="25">
        <f>TractorSales[[#This Row],[World]]/IndustryTractorSales[[#This Row],[World]]</f>
        <v>0.16181394274095981</v>
      </c>
    </row>
    <row r="54" spans="1:25" x14ac:dyDescent="0.2">
      <c r="A54" s="27">
        <v>41760</v>
      </c>
      <c r="B54">
        <v>2230</v>
      </c>
      <c r="C54">
        <v>930</v>
      </c>
      <c r="D54">
        <v>590</v>
      </c>
      <c r="E54">
        <v>253</v>
      </c>
      <c r="F54">
        <v>130</v>
      </c>
      <c r="G54">
        <f>SUM(TractorSales[[#This Row],[NA]],TractorSales[[#This Row],[SA]],TractorSales[[#This Row],[Eur]],TractorSales[[#This Row],[Pac]],TractorSales[[#This Row],[China]])</f>
        <v>4133</v>
      </c>
      <c r="H54" s="25">
        <f>TractorSales[[#This Row],[NA]]/IndustryTractorSales[[#This Row],[NA]]</f>
        <v>0.184</v>
      </c>
      <c r="I54" s="25">
        <f>TractorSales[[#This Row],[SA]]/IndustryTractorSales[[#This Row],[SA]]</f>
        <v>0.29699999999999999</v>
      </c>
      <c r="J54" s="25">
        <f>TractorSales[[#This Row],[Eur]]/IndustryTractorSales[[#This Row],[Eur]]</f>
        <v>9.2999999999999999E-2</v>
      </c>
      <c r="K54" s="25">
        <f>TractorSales[[#This Row],[Pac]]/IndustryTractorSales[[#This Row],[Pac]]</f>
        <v>0.20341200000000001</v>
      </c>
      <c r="L54" s="25">
        <f>TractorSales[[#This Row],[China]]/IndustryTractorSales[[#This Row],[China]]</f>
        <v>0.05</v>
      </c>
      <c r="M54" s="25">
        <f>TractorSales[[#This Row],[World]]/IndustryTractorSales[[#This Row],[World]]</f>
        <v>0.16246870372318892</v>
      </c>
    </row>
    <row r="55" spans="1:25" x14ac:dyDescent="0.2">
      <c r="A55" s="27">
        <v>41791</v>
      </c>
      <c r="B55">
        <v>2490</v>
      </c>
      <c r="C55">
        <v>980</v>
      </c>
      <c r="D55">
        <v>600</v>
      </c>
      <c r="E55">
        <v>270</v>
      </c>
      <c r="F55">
        <v>136</v>
      </c>
      <c r="G55">
        <f>SUM(TractorSales[[#This Row],[NA]],TractorSales[[#This Row],[SA]],TractorSales[[#This Row],[Eur]],TractorSales[[#This Row],[Pac]],TractorSales[[#This Row],[China]])</f>
        <v>4476</v>
      </c>
      <c r="H55" s="25">
        <f>TractorSales[[#This Row],[NA]]/IndustryTractorSales[[#This Row],[NA]]</f>
        <v>0.185</v>
      </c>
      <c r="I55" s="25">
        <f>TractorSales[[#This Row],[SA]]/IndustryTractorSales[[#This Row],[SA]]</f>
        <v>0.29599999999999999</v>
      </c>
      <c r="J55" s="25">
        <f>TractorSales[[#This Row],[Eur]]/IndustryTractorSales[[#This Row],[Eur]]</f>
        <v>9.0999999999999998E-2</v>
      </c>
      <c r="K55" s="25">
        <f>TractorSales[[#This Row],[Pac]]/IndustryTractorSales[[#This Row],[Pac]]</f>
        <v>0.19900000000000004</v>
      </c>
      <c r="L55" s="25">
        <f>TractorSales[[#This Row],[China]]/IndustryTractorSales[[#This Row],[China]]</f>
        <v>5.1261538461538469E-2</v>
      </c>
      <c r="M55" s="25">
        <f>TractorSales[[#This Row],[World]]/IndustryTractorSales[[#This Row],[World]]</f>
        <v>0.1635156776219866</v>
      </c>
    </row>
    <row r="56" spans="1:25" x14ac:dyDescent="0.2">
      <c r="A56" s="27">
        <v>41821</v>
      </c>
      <c r="B56">
        <v>2440</v>
      </c>
      <c r="C56">
        <v>1002</v>
      </c>
      <c r="D56">
        <v>580</v>
      </c>
      <c r="E56">
        <v>280</v>
      </c>
      <c r="F56">
        <v>134</v>
      </c>
      <c r="G56">
        <f>SUM(TractorSales[[#This Row],[NA]],TractorSales[[#This Row],[SA]],TractorSales[[#This Row],[Eur]],TractorSales[[#This Row],[Pac]],TractorSales[[#This Row],[China]])</f>
        <v>4436</v>
      </c>
      <c r="H56" s="25">
        <f>TractorSales[[#This Row],[NA]]/IndustryTractorSales[[#This Row],[NA]]</f>
        <v>0.187</v>
      </c>
      <c r="I56" s="25">
        <f>TractorSales[[#This Row],[SA]]/IndustryTractorSales[[#This Row],[SA]]</f>
        <v>0.29558999999999996</v>
      </c>
      <c r="J56" s="25">
        <f>TractorSales[[#This Row],[Eur]]/IndustryTractorSales[[#This Row],[Eur]]</f>
        <v>9.1999999999999998E-2</v>
      </c>
      <c r="K56" s="25">
        <f>TractorSales[[#This Row],[Pac]]/IndustryTractorSales[[#This Row],[Pac]]</f>
        <v>0.19700000000000001</v>
      </c>
      <c r="L56" s="25">
        <f>TractorSales[[#This Row],[China]]/IndustryTractorSales[[#This Row],[China]]</f>
        <v>5.153846153846154E-2</v>
      </c>
      <c r="M56" s="25">
        <f>TractorSales[[#This Row],[World]]/IndustryTractorSales[[#This Row],[World]]</f>
        <v>0.16574734385674175</v>
      </c>
    </row>
    <row r="57" spans="1:25" x14ac:dyDescent="0.2">
      <c r="A57" s="27">
        <v>41852</v>
      </c>
      <c r="B57">
        <v>2334</v>
      </c>
      <c r="C57">
        <v>970</v>
      </c>
      <c r="D57">
        <v>570</v>
      </c>
      <c r="E57">
        <v>250</v>
      </c>
      <c r="F57">
        <v>132</v>
      </c>
      <c r="G57">
        <f>SUM(TractorSales[[#This Row],[NA]],TractorSales[[#This Row],[SA]],TractorSales[[#This Row],[Eur]],TractorSales[[#This Row],[Pac]],TractorSales[[#This Row],[China]])</f>
        <v>4256</v>
      </c>
      <c r="H57" s="25">
        <f>TractorSales[[#This Row],[NA]]/IndustryTractorSales[[#This Row],[NA]]</f>
        <v>0.19014051724137931</v>
      </c>
      <c r="I57" s="25">
        <f>TractorSales[[#This Row],[SA]]/IndustryTractorSales[[#This Row],[SA]]</f>
        <v>0.29599999999999999</v>
      </c>
      <c r="J57" s="25">
        <f>TractorSales[[#This Row],[Eur]]/IndustryTractorSales[[#This Row],[Eur]]</f>
        <v>9.4E-2</v>
      </c>
      <c r="K57" s="25">
        <f>TractorSales[[#This Row],[Pac]]/IndustryTractorSales[[#This Row],[Pac]]</f>
        <v>0.19800000000000001</v>
      </c>
      <c r="L57" s="25">
        <f>TractorSales[[#This Row],[China]]/IndustryTractorSales[[#This Row],[China]]</f>
        <v>5.1784615384615387E-2</v>
      </c>
      <c r="M57" s="25">
        <f>TractorSales[[#This Row],[World]]/IndustryTractorSales[[#This Row],[World]]</f>
        <v>0.16737695057830002</v>
      </c>
    </row>
    <row r="58" spans="1:25" x14ac:dyDescent="0.2">
      <c r="A58" s="27">
        <v>41883</v>
      </c>
      <c r="B58">
        <v>2190</v>
      </c>
      <c r="C58">
        <v>960</v>
      </c>
      <c r="D58">
        <v>550</v>
      </c>
      <c r="E58">
        <v>230</v>
      </c>
      <c r="F58">
        <v>137</v>
      </c>
      <c r="G58">
        <f>SUM(TractorSales[[#This Row],[NA]],TractorSales[[#This Row],[SA]],TractorSales[[#This Row],[Eur]],TractorSales[[#This Row],[Pac]],TractorSales[[#This Row],[China]])</f>
        <v>4067</v>
      </c>
      <c r="H58" s="25">
        <f>TractorSales[[#This Row],[NA]]/IndustryTractorSales[[#This Row],[NA]]</f>
        <v>0.193</v>
      </c>
      <c r="I58" s="25">
        <f>TractorSales[[#This Row],[SA]]/IndustryTractorSales[[#This Row],[SA]]</f>
        <v>0.29699999999999999</v>
      </c>
      <c r="J58" s="25">
        <f>TractorSales[[#This Row],[Eur]]/IndustryTractorSales[[#This Row],[Eur]]</f>
        <v>9.4999999999999987E-2</v>
      </c>
      <c r="K58" s="25">
        <f>TractorSales[[#This Row],[Pac]]/IndustryTractorSales[[#This Row],[Pac]]</f>
        <v>0.19600000000000001</v>
      </c>
      <c r="L58" s="25">
        <f>TractorSales[[#This Row],[China]]/IndustryTractorSales[[#This Row],[China]]</f>
        <v>5.5853846153846157E-2</v>
      </c>
      <c r="M58" s="25">
        <f>TractorSales[[#This Row],[World]]/IndustryTractorSales[[#This Row],[World]]</f>
        <v>0.16949190154316732</v>
      </c>
    </row>
    <row r="59" spans="1:25" x14ac:dyDescent="0.2">
      <c r="A59" s="27">
        <v>41913</v>
      </c>
      <c r="B59">
        <v>2080</v>
      </c>
      <c r="C59">
        <v>930</v>
      </c>
      <c r="D59">
        <v>530</v>
      </c>
      <c r="E59">
        <v>220</v>
      </c>
      <c r="F59">
        <v>130</v>
      </c>
      <c r="G59">
        <f>SUM(TractorSales[[#This Row],[NA]],TractorSales[[#This Row],[SA]],TractorSales[[#This Row],[Eur]],TractorSales[[#This Row],[Pac]],TractorSales[[#This Row],[China]])</f>
        <v>3890</v>
      </c>
      <c r="H59" s="25">
        <f>TractorSales[[#This Row],[NA]]/IndustryTractorSales[[#This Row],[NA]]</f>
        <v>0.19500000000000001</v>
      </c>
      <c r="I59" s="25">
        <f>TractorSales[[#This Row],[SA]]/IndustryTractorSales[[#This Row],[SA]]</f>
        <v>0.29699999999999999</v>
      </c>
      <c r="J59" s="25">
        <f>TractorSales[[#This Row],[Eur]]/IndustryTractorSales[[#This Row],[Eur]]</f>
        <v>9.2999999999999999E-2</v>
      </c>
      <c r="K59" s="25">
        <f>TractorSales[[#This Row],[Pac]]/IndustryTractorSales[[#This Row],[Pac]]</f>
        <v>0.19500000000000001</v>
      </c>
      <c r="L59" s="25">
        <f>TractorSales[[#This Row],[China]]/IndustryTractorSales[[#This Row],[China]]</f>
        <v>5.1648788239968213E-2</v>
      </c>
      <c r="M59" s="25">
        <f>TractorSales[[#This Row],[World]]/IndustryTractorSales[[#This Row],[World]]</f>
        <v>0.16809184891065218</v>
      </c>
    </row>
    <row r="60" spans="1:25" x14ac:dyDescent="0.2">
      <c r="A60" s="27">
        <v>41944</v>
      </c>
      <c r="B60">
        <v>2050</v>
      </c>
      <c r="C60">
        <v>920</v>
      </c>
      <c r="D60">
        <v>517</v>
      </c>
      <c r="E60">
        <v>190</v>
      </c>
      <c r="F60">
        <v>139</v>
      </c>
      <c r="G60">
        <f>SUM(TractorSales[[#This Row],[NA]],TractorSales[[#This Row],[SA]],TractorSales[[#This Row],[Eur]],TractorSales[[#This Row],[Pac]],TractorSales[[#This Row],[China]])</f>
        <v>3816</v>
      </c>
      <c r="H60" s="25">
        <f>TractorSales[[#This Row],[NA]]/IndustryTractorSales[[#This Row],[NA]]</f>
        <v>0.19600000000000001</v>
      </c>
      <c r="I60" s="25">
        <f>TractorSales[[#This Row],[SA]]/IndustryTractorSales[[#This Row],[SA]]</f>
        <v>0.29799999999999999</v>
      </c>
      <c r="J60" s="25">
        <f>TractorSales[[#This Row],[Eur]]/IndustryTractorSales[[#This Row],[Eur]]</f>
        <v>9.2249019607843138E-2</v>
      </c>
      <c r="K60" s="25">
        <f>TractorSales[[#This Row],[Pac]]/IndustryTractorSales[[#This Row],[Pac]]</f>
        <v>0.19500000000000001</v>
      </c>
      <c r="L60" s="25">
        <f>TractorSales[[#This Row],[China]]/IndustryTractorSales[[#This Row],[China]]</f>
        <v>5.4702872884691063E-2</v>
      </c>
      <c r="M60" s="25">
        <f>TractorSales[[#This Row],[World]]/IndustryTractorSales[[#This Row],[World]]</f>
        <v>0.16835650705861149</v>
      </c>
    </row>
    <row r="61" spans="1:25" x14ac:dyDescent="0.2">
      <c r="A61" s="27">
        <v>41974</v>
      </c>
      <c r="B61">
        <v>2004</v>
      </c>
      <c r="C61">
        <v>902</v>
      </c>
      <c r="D61">
        <v>490</v>
      </c>
      <c r="E61">
        <v>190</v>
      </c>
      <c r="F61">
        <v>131</v>
      </c>
      <c r="G61">
        <f>SUM(TractorSales[[#This Row],[NA]],TractorSales[[#This Row],[SA]],TractorSales[[#This Row],[Eur]],TractorSales[[#This Row],[Pac]],TractorSales[[#This Row],[China]])</f>
        <v>3717</v>
      </c>
      <c r="H61" s="25">
        <f>TractorSales[[#This Row],[NA]]/IndustryTractorSales[[#This Row],[NA]]</f>
        <v>0.19877008530053561</v>
      </c>
      <c r="I61" s="25">
        <f>TractorSales[[#This Row],[SA]]/IndustryTractorSales[[#This Row],[SA]]</f>
        <v>0.29765999999999998</v>
      </c>
      <c r="J61" s="25">
        <f>TractorSales[[#This Row],[Eur]]/IndustryTractorSales[[#This Row],[Eur]]</f>
        <v>0.09</v>
      </c>
      <c r="K61" s="25">
        <f>TractorSales[[#This Row],[Pac]]/IndustryTractorSales[[#This Row],[Pac]]</f>
        <v>0.19400000000000001</v>
      </c>
      <c r="L61" s="25">
        <f>TractorSales[[#This Row],[China]]/IndustryTractorSales[[#This Row],[China]]</f>
        <v>5.3407692307692309E-2</v>
      </c>
      <c r="M61" s="25">
        <f>TractorSales[[#This Row],[World]]/IndustryTractorSales[[#This Row],[World]]</f>
        <v>0.16903937935211744</v>
      </c>
    </row>
    <row r="62" spans="1:25" x14ac:dyDescent="0.2">
      <c r="D62" s="2"/>
      <c r="F62" s="2"/>
      <c r="H62" s="2"/>
      <c r="K62" s="2"/>
      <c r="M62" s="2"/>
      <c r="O62" s="2"/>
    </row>
    <row r="63" spans="1:25" x14ac:dyDescent="0.2">
      <c r="A63" s="5" t="s">
        <v>10</v>
      </c>
      <c r="B63">
        <f>AVERAGE(TractorSales[NA])</f>
        <v>1075.0333333333333</v>
      </c>
      <c r="C63">
        <f>AVERAGE(TractorSales[SA])</f>
        <v>598.35</v>
      </c>
      <c r="D63">
        <f>AVERAGE(TractorSales[Eur])</f>
        <v>647.9666666666667</v>
      </c>
      <c r="E63">
        <f>AVERAGE(TractorSales[Pac])</f>
        <v>272.18333333333334</v>
      </c>
      <c r="F63">
        <f>AVERAGE(TractorSales[China])</f>
        <v>77.75</v>
      </c>
      <c r="G63">
        <f>AVERAGE(TractorSales[World])</f>
        <v>2640.1833333333334</v>
      </c>
      <c r="H63" s="53">
        <f>AVERAGE(TractorSales[NA Market Share])</f>
        <v>0.1326235025819277</v>
      </c>
      <c r="I63" s="53">
        <f>AVERAGE(TractorSales[SA Market Share])</f>
        <v>0.28174696400920601</v>
      </c>
      <c r="J63" s="53">
        <f>AVERAGE(TractorSales[Eur Market Share])</f>
        <v>0.10063778102010873</v>
      </c>
      <c r="K63" s="53">
        <f>AVERAGE(TractorSales[Pac Market Share])</f>
        <v>0.20591200818465352</v>
      </c>
      <c r="L63" s="53">
        <f>AVERAGE(TractorSales[China Market Share])</f>
        <v>2.8025157625966923E-2</v>
      </c>
      <c r="M63" s="53">
        <f>AVERAGE(TractorSales[World Market Share])</f>
        <v>0.13906038623197636</v>
      </c>
    </row>
    <row r="64" spans="1:25" x14ac:dyDescent="0.2">
      <c r="A64" s="5" t="s">
        <v>27</v>
      </c>
      <c r="B64">
        <f>MEDIAN(TractorSales[NA])</f>
        <v>835</v>
      </c>
      <c r="C64">
        <f>MEDIAN(TractorSales[SA])</f>
        <v>605</v>
      </c>
      <c r="D64">
        <f>MEDIAN(TractorSales[Eur])</f>
        <v>647.5</v>
      </c>
      <c r="E64">
        <f>MEDIAN(TractorSales[Pac])</f>
        <v>270</v>
      </c>
      <c r="F64">
        <f>MEDIAN(TractorSales[China])</f>
        <v>81</v>
      </c>
      <c r="G64">
        <f>MEDIAN(TractorSales[World])</f>
        <v>2408</v>
      </c>
      <c r="H64" s="53">
        <f>MEDIAN(TractorSales[NA Market Share])</f>
        <v>0.12851030097087379</v>
      </c>
      <c r="I64" s="53">
        <f>MEDIAN(TractorSales[SA Market Share])</f>
        <v>0.28100000000000003</v>
      </c>
      <c r="J64" s="53">
        <f>MEDIAN(TractorSales[Eur Market Share])</f>
        <v>0.1</v>
      </c>
      <c r="K64" s="53">
        <f>MEDIAN(TractorSales[Pac Market Share])</f>
        <v>0.20499999999999999</v>
      </c>
      <c r="L64" s="53">
        <f>MEDIAN(TractorSales[China Market Share])</f>
        <v>3.95E-2</v>
      </c>
      <c r="M64" s="53">
        <f>MEDIAN(TractorSales[World Market Share])</f>
        <v>0.13811730243903353</v>
      </c>
    </row>
    <row r="65" spans="1:13" x14ac:dyDescent="0.2">
      <c r="A65" s="5" t="s">
        <v>28</v>
      </c>
      <c r="B65">
        <f>_xlfn.MODE.SNGL(TractorSales[NA])</f>
        <v>570</v>
      </c>
      <c r="C65">
        <f>_xlfn.MODE.SNGL(TractorSales[SA])</f>
        <v>280</v>
      </c>
      <c r="D65">
        <f>_xlfn.MODE.SNGL(TractorSales[Eur])</f>
        <v>680</v>
      </c>
      <c r="E65">
        <f>_xlfn.MODE.SNGL(TractorSales[Pac])</f>
        <v>290</v>
      </c>
      <c r="F65">
        <f>_xlfn.MODE.SNGL(TractorSales[China])</f>
        <v>20</v>
      </c>
      <c r="G65">
        <f>_xlfn.MODE.SNGL(TractorSales[World])</f>
        <v>2324</v>
      </c>
      <c r="H65" s="53">
        <f>_xlfn.MODE.SNGL(TractorSales[NA Market Share])</f>
        <v>0.16300000000000001</v>
      </c>
      <c r="I65" s="53">
        <f>_xlfn.MODE.SNGL(TractorSales[SA Market Share])</f>
        <v>0.29699999999999999</v>
      </c>
      <c r="J65" s="53">
        <f>_xlfn.MODE.SNGL(TractorSales[Eur Market Share])</f>
        <v>9.8000000000000004E-2</v>
      </c>
      <c r="K65" s="53">
        <f>_xlfn.MODE.SNGL(TractorSales[Pac Market Share])</f>
        <v>0.20499999999999999</v>
      </c>
      <c r="L65" s="53">
        <f>_xlfn.MODE.SNGL(TractorSales[China Market Share])</f>
        <v>0</v>
      </c>
      <c r="M65" s="53" t="e">
        <f>_xlfn.MODE.SNGL(TractorSales[World Market Share])</f>
        <v>#N/A</v>
      </c>
    </row>
    <row r="66" spans="1:13" x14ac:dyDescent="0.2">
      <c r="A66" s="5" t="s">
        <v>39</v>
      </c>
      <c r="B66">
        <f>_xlfn.STDEV.P(TractorSales[NA])</f>
        <v>581.51230903185149</v>
      </c>
      <c r="C66">
        <f>_xlfn.STDEV.P(TractorSales[SA])</f>
        <v>233.2926506200599</v>
      </c>
      <c r="D66">
        <f>_xlfn.STDEV.P(TractorSales[Eur])</f>
        <v>93.656992382962102</v>
      </c>
      <c r="E66">
        <f>_xlfn.STDEV.P(TractorSales[Pac])</f>
        <v>38.514712196192711</v>
      </c>
      <c r="F66">
        <f>_xlfn.STDEV.P(TractorSales[China])</f>
        <v>45.210848624343839</v>
      </c>
      <c r="G66">
        <f>_xlfn.STDEV.P(TractorSales[World])</f>
        <v>806.62410683181429</v>
      </c>
      <c r="H66" s="53">
        <f>_xlfn.STDEV.P(TractorSales[NA Market Share])</f>
        <v>3.7652603760958879E-2</v>
      </c>
      <c r="I66" s="53">
        <f>_xlfn.STDEV.P(TractorSales[SA Market Share])</f>
        <v>1.2477793472678668E-2</v>
      </c>
      <c r="J66" s="53">
        <f>_xlfn.STDEV.P(TractorSales[Eur Market Share])</f>
        <v>6.1036637818421063E-3</v>
      </c>
      <c r="K66" s="53">
        <f>_xlfn.STDEV.P(TractorSales[Pac Market Share])</f>
        <v>6.3605258183971414E-3</v>
      </c>
      <c r="L66" s="53">
        <f>_xlfn.STDEV.P(TractorSales[China Market Share])</f>
        <v>2.3347122942111227E-2</v>
      </c>
      <c r="M66" s="53">
        <f>_xlfn.STDEV.P(TractorSales[World Market Share])</f>
        <v>1.8116556598610969E-2</v>
      </c>
    </row>
  </sheetData>
  <phoneticPr fontId="0" type="noConversion"/>
  <pageMargins left="0.75" right="0.75" top="1" bottom="1" header="0.5" footer="0.5"/>
  <pageSetup scale="79" orientation="portrait" horizontalDpi="4294967292" verticalDpi="4294967292" r:id="rId1"/>
  <headerFooter alignWithMargins="0"/>
  <drawing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R66"/>
  <sheetViews>
    <sheetView workbookViewId="0">
      <pane ySplit="1" topLeftCell="A2" activePane="bottomLeft" state="frozen"/>
      <selection pane="bottomLeft" activeCell="T41" sqref="T41"/>
    </sheetView>
  </sheetViews>
  <sheetFormatPr defaultColWidth="8.85546875" defaultRowHeight="12.75" x14ac:dyDescent="0.2"/>
  <cols>
    <col min="1" max="1" width="11.42578125" style="4" customWidth="1"/>
    <col min="2" max="6" width="9" customWidth="1"/>
    <col min="7" max="7" width="9.7109375" customWidth="1"/>
  </cols>
  <sheetData>
    <row r="1" spans="1:7" s="12" customFormat="1" ht="13.5" thickBot="1" x14ac:dyDescent="0.25">
      <c r="A1" s="10" t="s">
        <v>30</v>
      </c>
      <c r="B1" s="10" t="s">
        <v>23</v>
      </c>
      <c r="C1" s="10" t="s">
        <v>24</v>
      </c>
      <c r="D1" s="10" t="s">
        <v>25</v>
      </c>
      <c r="E1" s="10" t="s">
        <v>26</v>
      </c>
      <c r="F1" s="10" t="s">
        <v>15</v>
      </c>
      <c r="G1" s="10" t="s">
        <v>31</v>
      </c>
    </row>
    <row r="2" spans="1:7" ht="13.5" thickTop="1" x14ac:dyDescent="0.2">
      <c r="A2" s="11">
        <v>40179</v>
      </c>
      <c r="B2" s="2">
        <v>8142.8571428571422</v>
      </c>
      <c r="C2" s="2">
        <v>984</v>
      </c>
      <c r="D2" s="2">
        <v>5090.909090909091</v>
      </c>
      <c r="E2" s="2">
        <v>987</v>
      </c>
      <c r="F2" s="2">
        <v>278</v>
      </c>
      <c r="G2" s="2">
        <f t="shared" ref="G2:G33" si="0">SUM(B2:F2)</f>
        <v>15482.766233766233</v>
      </c>
    </row>
    <row r="3" spans="1:7" x14ac:dyDescent="0.2">
      <c r="A3" s="11">
        <v>40210</v>
      </c>
      <c r="B3" s="2">
        <v>8591.5492957746483</v>
      </c>
      <c r="C3" s="2">
        <v>1050.5836575875487</v>
      </c>
      <c r="D3" s="2">
        <v>5309.7345132743358</v>
      </c>
      <c r="E3" s="2">
        <v>1090.0473933649289</v>
      </c>
      <c r="F3" s="2">
        <v>283</v>
      </c>
      <c r="G3" s="2">
        <f t="shared" si="0"/>
        <v>16324.914860001461</v>
      </c>
    </row>
    <row r="4" spans="1:7" x14ac:dyDescent="0.2">
      <c r="A4" s="11">
        <v>40238</v>
      </c>
      <c r="B4" s="2">
        <v>8630.1369863013697</v>
      </c>
      <c r="C4" s="2">
        <v>1015.625</v>
      </c>
      <c r="D4" s="2">
        <v>6071.4285714285716</v>
      </c>
      <c r="E4" s="2">
        <v>1126.7605633802816</v>
      </c>
      <c r="F4" s="2">
        <v>285</v>
      </c>
      <c r="G4" s="2">
        <f t="shared" si="0"/>
        <v>17128.951121110222</v>
      </c>
    </row>
    <row r="5" spans="1:7" x14ac:dyDescent="0.2">
      <c r="A5" s="11">
        <v>40269</v>
      </c>
      <c r="B5" s="2">
        <v>8947.3684210526317</v>
      </c>
      <c r="C5" s="2">
        <v>1026.6159695817489</v>
      </c>
      <c r="D5" s="2">
        <v>5855.8558558558561</v>
      </c>
      <c r="E5" s="2">
        <v>1209.3023255813953</v>
      </c>
      <c r="F5" s="2">
        <v>288</v>
      </c>
      <c r="G5" s="2">
        <f t="shared" si="0"/>
        <v>17327.142572071632</v>
      </c>
    </row>
    <row r="6" spans="1:7" x14ac:dyDescent="0.2">
      <c r="A6" s="11">
        <v>40299</v>
      </c>
      <c r="B6" s="2">
        <v>8441.5584415584417</v>
      </c>
      <c r="C6" s="2">
        <v>1056.6037735849056</v>
      </c>
      <c r="D6" s="2">
        <v>5272.727272727273</v>
      </c>
      <c r="E6" s="2">
        <v>1220.6572769953052</v>
      </c>
      <c r="F6" s="2">
        <v>286</v>
      </c>
      <c r="G6" s="2">
        <f t="shared" si="0"/>
        <v>16277.546764865925</v>
      </c>
    </row>
    <row r="7" spans="1:7" x14ac:dyDescent="0.2">
      <c r="A7" s="11">
        <v>40330</v>
      </c>
      <c r="B7" s="2">
        <v>7500</v>
      </c>
      <c r="C7" s="2">
        <v>1018.8679245283018</v>
      </c>
      <c r="D7" s="2">
        <v>5315.3153153153153</v>
      </c>
      <c r="E7" s="2">
        <v>1327.0142180094788</v>
      </c>
      <c r="F7" s="2">
        <v>287</v>
      </c>
      <c r="G7" s="2">
        <f t="shared" si="0"/>
        <v>15448.197457853095</v>
      </c>
    </row>
    <row r="8" spans="1:7" x14ac:dyDescent="0.2">
      <c r="A8" s="11">
        <v>40360</v>
      </c>
      <c r="B8" s="2">
        <v>6144.5783132530123</v>
      </c>
      <c r="C8" s="2">
        <v>977.4436090225563</v>
      </c>
      <c r="D8" s="2">
        <v>7169.8113207547176</v>
      </c>
      <c r="E8" s="2">
        <v>1324.2009132420092</v>
      </c>
      <c r="F8" s="2">
        <v>289</v>
      </c>
      <c r="G8" s="2">
        <f t="shared" si="0"/>
        <v>15905.034156272297</v>
      </c>
    </row>
    <row r="9" spans="1:7" x14ac:dyDescent="0.2">
      <c r="A9" s="11">
        <v>40391</v>
      </c>
      <c r="B9" s="2">
        <v>5882.3529411764703</v>
      </c>
      <c r="C9" s="2">
        <v>1056.6037735849056</v>
      </c>
      <c r="D9" s="2">
        <v>5925.9259259259261</v>
      </c>
      <c r="E9" s="2">
        <v>1267.605633802817</v>
      </c>
      <c r="F9" s="2">
        <v>290</v>
      </c>
      <c r="G9" s="2">
        <f t="shared" si="0"/>
        <v>14422.488274490119</v>
      </c>
    </row>
    <row r="10" spans="1:7" x14ac:dyDescent="0.2">
      <c r="A10" s="11">
        <v>40422</v>
      </c>
      <c r="B10" s="2">
        <v>5595.2380952380954</v>
      </c>
      <c r="C10" s="2">
        <v>1086.1423220973782</v>
      </c>
      <c r="D10" s="2">
        <v>6074.7663551401874</v>
      </c>
      <c r="E10" s="2">
        <v>1209.3023255813953</v>
      </c>
      <c r="F10" s="2">
        <v>293</v>
      </c>
      <c r="G10" s="2">
        <f t="shared" si="0"/>
        <v>14258.449098057057</v>
      </c>
    </row>
    <row r="11" spans="1:7" x14ac:dyDescent="0.2">
      <c r="A11" s="11">
        <v>40452</v>
      </c>
      <c r="B11" s="2">
        <v>5232.5581395348845</v>
      </c>
      <c r="C11" s="2">
        <v>1044.7761194029849</v>
      </c>
      <c r="D11" s="2">
        <v>6320.7547169811323</v>
      </c>
      <c r="E11" s="2">
        <v>1168.2242990654206</v>
      </c>
      <c r="F11" s="2">
        <v>295</v>
      </c>
      <c r="G11" s="2">
        <f t="shared" si="0"/>
        <v>14061.313274984424</v>
      </c>
    </row>
    <row r="12" spans="1:7" x14ac:dyDescent="0.2">
      <c r="A12" s="11">
        <v>40483</v>
      </c>
      <c r="B12" s="2">
        <v>4494.3820224719102</v>
      </c>
      <c r="C12" s="2">
        <v>1078.0669144981412</v>
      </c>
      <c r="D12" s="2">
        <v>8380.9523809523816</v>
      </c>
      <c r="E12" s="2">
        <v>1126.7605633802816</v>
      </c>
      <c r="F12" s="2">
        <v>298</v>
      </c>
      <c r="G12" s="2">
        <f t="shared" si="0"/>
        <v>15378.161881302714</v>
      </c>
    </row>
    <row r="13" spans="1:7" x14ac:dyDescent="0.2">
      <c r="A13" s="11">
        <v>40513</v>
      </c>
      <c r="B13" s="2">
        <v>3913.0434782608695</v>
      </c>
      <c r="C13" s="2">
        <v>1029.4117647058822</v>
      </c>
      <c r="D13" s="2">
        <v>7943.9252336448599</v>
      </c>
      <c r="E13" s="2">
        <v>1084.9056603773586</v>
      </c>
      <c r="F13" s="2">
        <v>301</v>
      </c>
      <c r="G13" s="2">
        <f t="shared" si="0"/>
        <v>14272.286136988971</v>
      </c>
    </row>
    <row r="14" spans="1:7" x14ac:dyDescent="0.2">
      <c r="A14" s="11">
        <v>40544</v>
      </c>
      <c r="B14" s="2">
        <v>5937.5</v>
      </c>
      <c r="C14" s="2">
        <v>1172.1611721611721</v>
      </c>
      <c r="D14" s="2">
        <v>5688.0733944954127</v>
      </c>
      <c r="E14" s="2">
        <v>1184.8341232227488</v>
      </c>
      <c r="F14" s="2">
        <v>306</v>
      </c>
      <c r="G14" s="2">
        <f t="shared" si="0"/>
        <v>14288.568689879334</v>
      </c>
    </row>
    <row r="15" spans="1:7" x14ac:dyDescent="0.2">
      <c r="A15" s="11">
        <v>40575</v>
      </c>
      <c r="B15" s="2">
        <v>6632.6530612244906</v>
      </c>
      <c r="C15" s="2">
        <v>1272.7272727272725</v>
      </c>
      <c r="D15" s="2">
        <v>7037.0370370370374</v>
      </c>
      <c r="E15" s="2">
        <v>1285.7142857142858</v>
      </c>
      <c r="F15" s="2">
        <v>302</v>
      </c>
      <c r="G15" s="2">
        <f t="shared" si="0"/>
        <v>16530.131656703088</v>
      </c>
    </row>
    <row r="16" spans="1:7" x14ac:dyDescent="0.2">
      <c r="A16" s="11">
        <v>40603</v>
      </c>
      <c r="B16" s="2">
        <v>7326.7326732673273</v>
      </c>
      <c r="C16" s="2">
        <v>1423.3576642335765</v>
      </c>
      <c r="D16" s="2">
        <v>6981.132075471698</v>
      </c>
      <c r="E16" s="2">
        <v>1285.7142857142858</v>
      </c>
      <c r="F16" s="2">
        <v>303</v>
      </c>
      <c r="G16" s="2">
        <f t="shared" si="0"/>
        <v>17319.936698686888</v>
      </c>
    </row>
    <row r="17" spans="1:7" x14ac:dyDescent="0.2">
      <c r="A17" s="11">
        <v>40634</v>
      </c>
      <c r="B17" s="2">
        <v>8076.9230769230771</v>
      </c>
      <c r="C17" s="2">
        <v>1611.7216117216117</v>
      </c>
      <c r="D17" s="2">
        <v>7500</v>
      </c>
      <c r="E17" s="2">
        <v>1346.1538461538462</v>
      </c>
      <c r="F17" s="2">
        <v>307</v>
      </c>
      <c r="G17" s="2">
        <f t="shared" si="0"/>
        <v>18841.798534798534</v>
      </c>
    </row>
    <row r="18" spans="1:7" x14ac:dyDescent="0.2">
      <c r="A18" s="11">
        <v>40664</v>
      </c>
      <c r="B18" s="2">
        <v>7830.1886792452833</v>
      </c>
      <c r="C18" s="2">
        <v>1727.9411764705881</v>
      </c>
      <c r="D18" s="2">
        <v>6571.4285714285716</v>
      </c>
      <c r="E18" s="2">
        <v>1387.5598086124403</v>
      </c>
      <c r="F18" s="2">
        <v>309</v>
      </c>
      <c r="G18" s="2">
        <f t="shared" si="0"/>
        <v>17826.118235756883</v>
      </c>
    </row>
    <row r="19" spans="1:7" x14ac:dyDescent="0.2">
      <c r="A19" s="11">
        <v>40695</v>
      </c>
      <c r="B19" s="2">
        <v>7102.8037383177571</v>
      </c>
      <c r="C19" s="2">
        <v>1814.8148148148148</v>
      </c>
      <c r="D19" s="2">
        <v>6990.2912621359228</v>
      </c>
      <c r="E19" s="2">
        <v>1449.2753623188407</v>
      </c>
      <c r="F19" s="2">
        <v>312</v>
      </c>
      <c r="G19" s="2">
        <f t="shared" si="0"/>
        <v>17669.185177587337</v>
      </c>
    </row>
    <row r="20" spans="1:7" x14ac:dyDescent="0.2">
      <c r="A20" s="11">
        <v>40725</v>
      </c>
      <c r="B20" s="2">
        <v>6238.5321100917436</v>
      </c>
      <c r="C20" s="2">
        <v>1776</v>
      </c>
      <c r="D20" s="2">
        <v>6666.666666666667</v>
      </c>
      <c r="E20" s="2">
        <v>1490.3846153846155</v>
      </c>
      <c r="F20" s="2">
        <v>315</v>
      </c>
      <c r="G20" s="2">
        <f t="shared" si="0"/>
        <v>16486.583392143024</v>
      </c>
    </row>
    <row r="21" spans="1:7" x14ac:dyDescent="0.2">
      <c r="A21" s="11">
        <v>40756</v>
      </c>
      <c r="B21" s="2">
        <v>6036.0360360360355</v>
      </c>
      <c r="C21" s="2">
        <v>1684.9816849816848</v>
      </c>
      <c r="D21" s="2">
        <v>6761.9047619047624</v>
      </c>
      <c r="E21" s="2">
        <v>1449.2753623188407</v>
      </c>
      <c r="F21" s="2">
        <v>318</v>
      </c>
      <c r="G21" s="2">
        <f t="shared" si="0"/>
        <v>16250.197845241324</v>
      </c>
    </row>
    <row r="22" spans="1:7" x14ac:dyDescent="0.2">
      <c r="A22" s="11">
        <v>40787</v>
      </c>
      <c r="B22" s="2">
        <v>5663.716814159292</v>
      </c>
      <c r="C22" s="2">
        <v>1678.8321167883209</v>
      </c>
      <c r="D22" s="2">
        <v>6634.6153846153848</v>
      </c>
      <c r="E22" s="2">
        <v>1394.2307692307693</v>
      </c>
      <c r="F22" s="2">
        <v>321</v>
      </c>
      <c r="G22" s="2">
        <f t="shared" si="0"/>
        <v>15692.395084793767</v>
      </c>
    </row>
    <row r="23" spans="1:7" x14ac:dyDescent="0.2">
      <c r="A23" s="11">
        <v>40817</v>
      </c>
      <c r="B23" s="2">
        <v>5344.8275862068958</v>
      </c>
      <c r="C23" s="2">
        <v>1617.6470588235293</v>
      </c>
      <c r="D23" s="2">
        <v>6310.6796116504856</v>
      </c>
      <c r="E23" s="2">
        <v>1256.0386473429953</v>
      </c>
      <c r="F23" s="2">
        <v>315</v>
      </c>
      <c r="G23" s="2">
        <f t="shared" si="0"/>
        <v>14844.192904023907</v>
      </c>
    </row>
    <row r="24" spans="1:7" x14ac:dyDescent="0.2">
      <c r="A24" s="11">
        <v>40848</v>
      </c>
      <c r="B24" s="2">
        <v>4830.5084745762706</v>
      </c>
      <c r="C24" s="2">
        <v>1563.6363636363635</v>
      </c>
      <c r="D24" s="2">
        <v>6476.1904761904761</v>
      </c>
      <c r="E24" s="2">
        <v>1213.5922330097087</v>
      </c>
      <c r="F24" s="2">
        <v>318</v>
      </c>
      <c r="G24" s="2">
        <f t="shared" si="0"/>
        <v>14401.927547412819</v>
      </c>
    </row>
    <row r="25" spans="1:7" x14ac:dyDescent="0.2">
      <c r="A25" s="11">
        <v>40878</v>
      </c>
      <c r="B25" s="2">
        <v>4453.7815126050418</v>
      </c>
      <c r="C25" s="2">
        <v>1521.7391304347825</v>
      </c>
      <c r="D25" s="2">
        <v>6250</v>
      </c>
      <c r="E25" s="2">
        <v>1170.7317073170732</v>
      </c>
      <c r="F25" s="2">
        <v>320</v>
      </c>
      <c r="G25" s="2">
        <f t="shared" si="0"/>
        <v>13716.252350356897</v>
      </c>
    </row>
    <row r="26" spans="1:7" x14ac:dyDescent="0.2">
      <c r="A26" s="11">
        <v>40909</v>
      </c>
      <c r="B26" s="2">
        <v>5299.1452991452988</v>
      </c>
      <c r="C26" s="2">
        <v>1834.5323741007192</v>
      </c>
      <c r="D26" s="2">
        <v>5922.3300970873788</v>
      </c>
      <c r="E26" s="2">
        <v>1207.7294685990339</v>
      </c>
      <c r="F26" s="2">
        <v>333.33333333333337</v>
      </c>
      <c r="G26" s="2">
        <f t="shared" si="0"/>
        <v>14597.070572265766</v>
      </c>
    </row>
    <row r="27" spans="1:7" x14ac:dyDescent="0.2">
      <c r="A27" s="11">
        <v>40940</v>
      </c>
      <c r="B27" s="2">
        <v>6528.9256198347121</v>
      </c>
      <c r="C27" s="2">
        <v>2114.6953405017921</v>
      </c>
      <c r="D27" s="2">
        <v>6666.666666666667</v>
      </c>
      <c r="E27" s="2">
        <v>1213.5922330097087</v>
      </c>
      <c r="F27" s="2">
        <v>312.5</v>
      </c>
      <c r="G27" s="2">
        <f t="shared" si="0"/>
        <v>16836.379860012879</v>
      </c>
    </row>
    <row r="28" spans="1:7" x14ac:dyDescent="0.2">
      <c r="A28" s="11">
        <v>40969</v>
      </c>
      <c r="B28" s="2">
        <v>7120</v>
      </c>
      <c r="C28" s="2">
        <v>2202.1660649819491</v>
      </c>
      <c r="D28" s="2">
        <v>7227.7227722772286</v>
      </c>
      <c r="E28" s="2">
        <v>1256.0386473429953</v>
      </c>
      <c r="F28" s="2">
        <v>606.06060606060601</v>
      </c>
      <c r="G28" s="2">
        <f t="shared" si="0"/>
        <v>18411.98809066278</v>
      </c>
    </row>
    <row r="29" spans="1:7" x14ac:dyDescent="0.2">
      <c r="A29" s="11">
        <v>41000</v>
      </c>
      <c r="B29" s="2">
        <v>7619.0476190476193</v>
      </c>
      <c r="C29" s="2">
        <v>2150.5376344086021</v>
      </c>
      <c r="D29" s="2">
        <v>8200</v>
      </c>
      <c r="E29" s="2">
        <v>1310.6796116504854</v>
      </c>
      <c r="F29" s="2">
        <v>571.42857142857133</v>
      </c>
      <c r="G29" s="2">
        <f t="shared" si="0"/>
        <v>19851.693436535279</v>
      </c>
    </row>
    <row r="30" spans="1:7" x14ac:dyDescent="0.2">
      <c r="A30" s="11">
        <v>41030</v>
      </c>
      <c r="B30" s="2">
        <v>8387.0967741935492</v>
      </c>
      <c r="C30" s="2">
        <v>2214.2857142857142</v>
      </c>
      <c r="D30" s="2">
        <v>7941.176470588236</v>
      </c>
      <c r="E30" s="2">
        <v>1414.6341463414635</v>
      </c>
      <c r="F30" s="2">
        <v>555.55555555555554</v>
      </c>
      <c r="G30" s="2">
        <f t="shared" si="0"/>
        <v>20512.74866096452</v>
      </c>
    </row>
    <row r="31" spans="1:7" x14ac:dyDescent="0.2">
      <c r="A31" s="11">
        <v>41061</v>
      </c>
      <c r="B31" s="2">
        <v>8110.2362204724404</v>
      </c>
      <c r="C31" s="2">
        <v>2277.5800711743768</v>
      </c>
      <c r="D31" s="2">
        <v>7920.7920792079212</v>
      </c>
      <c r="E31" s="2">
        <v>1519.607843137255</v>
      </c>
      <c r="F31" s="2">
        <v>526.31578947368428</v>
      </c>
      <c r="G31" s="2">
        <f t="shared" si="0"/>
        <v>20354.532003465676</v>
      </c>
    </row>
    <row r="32" spans="1:7" x14ac:dyDescent="0.2">
      <c r="A32" s="11">
        <v>41091</v>
      </c>
      <c r="B32" s="2">
        <v>7751.937984496124</v>
      </c>
      <c r="C32" s="2">
        <v>2099.6441281138787</v>
      </c>
      <c r="D32" s="2">
        <v>7676.7676767676767</v>
      </c>
      <c r="E32" s="2">
        <v>1674.8768472906402</v>
      </c>
      <c r="F32" s="2">
        <v>512.82051282051282</v>
      </c>
      <c r="G32" s="2">
        <f t="shared" si="0"/>
        <v>19716.047149488833</v>
      </c>
    </row>
    <row r="33" spans="1:18" ht="13.5" thickBot="1" x14ac:dyDescent="0.25">
      <c r="A33" s="11">
        <v>41122</v>
      </c>
      <c r="B33" s="2">
        <v>6893.939393939394</v>
      </c>
      <c r="C33" s="2">
        <v>2127.6595744680853</v>
      </c>
      <c r="D33" s="2">
        <v>7200</v>
      </c>
      <c r="E33" s="2">
        <v>1584.158415841584</v>
      </c>
      <c r="F33" s="2">
        <v>769.23076923076928</v>
      </c>
      <c r="G33" s="2">
        <f t="shared" si="0"/>
        <v>18574.988153479833</v>
      </c>
    </row>
    <row r="34" spans="1:18" x14ac:dyDescent="0.2">
      <c r="A34" s="11">
        <v>41153</v>
      </c>
      <c r="B34" s="2">
        <v>6015.0375939849619</v>
      </c>
      <c r="C34" s="2">
        <v>2367.4911660777389</v>
      </c>
      <c r="D34" s="2">
        <v>6734.6938775510198</v>
      </c>
      <c r="E34" s="2">
        <v>1527.0935960591132</v>
      </c>
      <c r="F34" s="2">
        <v>750</v>
      </c>
      <c r="G34" s="2">
        <f t="shared" ref="G34:G61" si="1">SUM(B34:F34)</f>
        <v>17394.316233672835</v>
      </c>
      <c r="I34" s="15"/>
      <c r="J34" s="15" t="s">
        <v>23</v>
      </c>
      <c r="K34" s="15" t="s">
        <v>24</v>
      </c>
      <c r="L34" s="15" t="s">
        <v>25</v>
      </c>
      <c r="M34" s="15" t="s">
        <v>26</v>
      </c>
      <c r="N34" s="15" t="s">
        <v>15</v>
      </c>
      <c r="O34" s="15" t="s">
        <v>31</v>
      </c>
      <c r="P34" s="31"/>
      <c r="Q34" s="31"/>
      <c r="R34" s="31"/>
    </row>
    <row r="35" spans="1:18" x14ac:dyDescent="0.2">
      <c r="A35" s="11">
        <v>41183</v>
      </c>
      <c r="B35" s="2">
        <v>5367.6470588235288</v>
      </c>
      <c r="C35" s="2">
        <v>2210.5263157894738</v>
      </c>
      <c r="D35" s="2">
        <v>6494.8453608247419</v>
      </c>
      <c r="E35" s="2">
        <v>1421.5686274509806</v>
      </c>
      <c r="F35" s="2">
        <v>731.70731707317077</v>
      </c>
      <c r="G35" s="2">
        <f t="shared" si="1"/>
        <v>16226.294679961897</v>
      </c>
      <c r="I35" s="13" t="s">
        <v>23</v>
      </c>
      <c r="J35" s="13">
        <v>1</v>
      </c>
      <c r="K35" s="13"/>
      <c r="L35" s="13"/>
      <c r="M35" s="13"/>
      <c r="N35" s="13"/>
      <c r="O35" s="13"/>
      <c r="P35" s="31"/>
      <c r="Q35" s="31"/>
      <c r="R35" s="31"/>
    </row>
    <row r="36" spans="1:18" x14ac:dyDescent="0.2">
      <c r="A36" s="11">
        <v>41214</v>
      </c>
      <c r="B36" s="2">
        <v>4964.0287769784172</v>
      </c>
      <c r="C36" s="2">
        <v>2482.5174825174827</v>
      </c>
      <c r="D36" s="2">
        <v>6060.6060606060601</v>
      </c>
      <c r="E36" s="2">
        <v>1365.8536585365855</v>
      </c>
      <c r="F36" s="2">
        <v>714.28571428571433</v>
      </c>
      <c r="G36" s="2">
        <f t="shared" si="1"/>
        <v>15587.291692924258</v>
      </c>
      <c r="I36" s="13" t="s">
        <v>24</v>
      </c>
      <c r="J36" s="13">
        <v>0.65287207018968962</v>
      </c>
      <c r="K36" s="13">
        <v>1</v>
      </c>
      <c r="L36" s="13"/>
      <c r="M36" s="13"/>
      <c r="N36" s="13"/>
      <c r="O36" s="13"/>
      <c r="P36" s="31"/>
      <c r="Q36" s="31"/>
      <c r="R36" s="31"/>
    </row>
    <row r="37" spans="1:18" x14ac:dyDescent="0.2">
      <c r="A37" s="11">
        <v>41244</v>
      </c>
      <c r="B37" s="2">
        <v>4444.4444444444443</v>
      </c>
      <c r="C37" s="2">
        <v>1986.0627177700351</v>
      </c>
      <c r="D37" s="2">
        <v>5816.3265306122448</v>
      </c>
      <c r="E37" s="2">
        <v>1262.1359223300972</v>
      </c>
      <c r="F37" s="2">
        <v>697.67441860465124</v>
      </c>
      <c r="G37" s="2">
        <f t="shared" si="1"/>
        <v>14206.644033761471</v>
      </c>
      <c r="I37" s="13" t="s">
        <v>25</v>
      </c>
      <c r="J37" s="13">
        <v>-9.179004024174138E-2</v>
      </c>
      <c r="K37" s="13">
        <v>-6.9955027863823585E-2</v>
      </c>
      <c r="L37" s="13">
        <v>1</v>
      </c>
      <c r="M37" s="13"/>
      <c r="N37" s="13"/>
      <c r="O37" s="13"/>
      <c r="P37" s="31"/>
      <c r="Q37" s="31"/>
      <c r="R37" s="31"/>
    </row>
    <row r="38" spans="1:18" x14ac:dyDescent="0.2">
      <c r="A38" s="11">
        <v>41275</v>
      </c>
      <c r="B38" s="2">
        <v>5000</v>
      </c>
      <c r="C38" s="2">
        <v>2256.9444444444448</v>
      </c>
      <c r="D38" s="2">
        <v>5050.5050505050503</v>
      </c>
      <c r="E38" s="2">
        <v>1372.5490196078433</v>
      </c>
      <c r="F38" s="2">
        <v>714.28571428571433</v>
      </c>
      <c r="G38" s="2">
        <f t="shared" si="1"/>
        <v>14394.284228843051</v>
      </c>
      <c r="I38" s="13" t="s">
        <v>26</v>
      </c>
      <c r="J38" s="13">
        <v>2.5066105310913616E-2</v>
      </c>
      <c r="K38" s="13">
        <v>0.258303913434618</v>
      </c>
      <c r="L38" s="13">
        <v>0.43287585407846224</v>
      </c>
      <c r="M38" s="13">
        <v>1</v>
      </c>
      <c r="N38" s="13"/>
      <c r="O38" s="13"/>
      <c r="P38" s="31"/>
      <c r="Q38" s="31"/>
      <c r="R38" s="31"/>
    </row>
    <row r="39" spans="1:18" x14ac:dyDescent="0.2">
      <c r="A39" s="11">
        <v>41306</v>
      </c>
      <c r="B39" s="2">
        <v>6283.7837837837833</v>
      </c>
      <c r="C39" s="2">
        <v>2352.9411764705883</v>
      </c>
      <c r="D39" s="2">
        <v>6082.4742268041236</v>
      </c>
      <c r="E39" s="2">
        <v>1435.6435643564355</v>
      </c>
      <c r="F39" s="2">
        <v>1063</v>
      </c>
      <c r="G39" s="2">
        <f t="shared" si="1"/>
        <v>17217.84275141493</v>
      </c>
      <c r="I39" s="13" t="s">
        <v>15</v>
      </c>
      <c r="J39" s="13">
        <v>0.72788496200453123</v>
      </c>
      <c r="K39" s="13">
        <v>0.88918665325785795</v>
      </c>
      <c r="L39" s="13">
        <v>-0.28159188614612712</v>
      </c>
      <c r="M39" s="13">
        <v>2.1536879571336185E-2</v>
      </c>
      <c r="N39" s="13">
        <v>1</v>
      </c>
      <c r="O39" s="13"/>
      <c r="P39" s="32"/>
      <c r="Q39" s="32"/>
      <c r="R39" s="31"/>
    </row>
    <row r="40" spans="1:18" ht="13.5" thickBot="1" x14ac:dyDescent="0.25">
      <c r="A40" s="11">
        <v>41334</v>
      </c>
      <c r="B40" s="2">
        <v>7785.2348993288579</v>
      </c>
      <c r="C40" s="2">
        <v>2456.7474048442909</v>
      </c>
      <c r="D40" s="2">
        <v>6326.5306122448974</v>
      </c>
      <c r="E40" s="2">
        <v>1477.8325123152708</v>
      </c>
      <c r="F40" s="2">
        <v>1264</v>
      </c>
      <c r="G40" s="2">
        <f t="shared" si="1"/>
        <v>19310.345428733319</v>
      </c>
      <c r="I40" s="14" t="s">
        <v>31</v>
      </c>
      <c r="J40" s="14">
        <v>0.9258333818207396</v>
      </c>
      <c r="K40" s="14">
        <v>0.83749721793789911</v>
      </c>
      <c r="L40" s="14">
        <v>0.11074141183981774</v>
      </c>
      <c r="M40" s="14">
        <v>0.22771076084286804</v>
      </c>
      <c r="N40" s="14">
        <v>0.82804133948444814</v>
      </c>
      <c r="O40" s="14">
        <v>1</v>
      </c>
      <c r="P40" s="13"/>
      <c r="Q40" s="13"/>
      <c r="R40" s="31"/>
    </row>
    <row r="41" spans="1:18" x14ac:dyDescent="0.2">
      <c r="A41" s="11">
        <v>41365</v>
      </c>
      <c r="B41" s="2">
        <v>9934.21052631579</v>
      </c>
      <c r="C41" s="2">
        <v>2517.2413793103451</v>
      </c>
      <c r="D41" s="2">
        <v>7604.1666666666661</v>
      </c>
      <c r="E41" s="2">
        <v>1512.1951219512196</v>
      </c>
      <c r="F41" s="2">
        <v>1333.3333333333335</v>
      </c>
      <c r="G41" s="2">
        <f t="shared" si="1"/>
        <v>22901.14702757735</v>
      </c>
      <c r="I41" s="13"/>
      <c r="J41" s="13"/>
      <c r="K41" s="13"/>
      <c r="L41" s="31"/>
      <c r="M41" s="31"/>
      <c r="N41" s="31"/>
      <c r="O41" s="13"/>
      <c r="P41" s="13"/>
      <c r="Q41" s="13"/>
      <c r="R41" s="31"/>
    </row>
    <row r="42" spans="1:18" x14ac:dyDescent="0.2">
      <c r="A42" s="11">
        <v>41395</v>
      </c>
      <c r="B42" s="2">
        <v>10645.161290322581</v>
      </c>
      <c r="C42" s="2">
        <v>2611.6838487972509</v>
      </c>
      <c r="D42" s="2">
        <v>7789.4736842105258</v>
      </c>
      <c r="E42" s="2">
        <v>1641.7910447761194</v>
      </c>
      <c r="F42" s="2">
        <v>1555.5555555555557</v>
      </c>
      <c r="G42" s="2">
        <f t="shared" si="1"/>
        <v>24243.665423662034</v>
      </c>
      <c r="I42" s="13"/>
      <c r="J42" s="13"/>
      <c r="K42" s="13"/>
      <c r="L42" s="31"/>
      <c r="M42" s="31"/>
      <c r="N42" s="31"/>
      <c r="O42" s="13"/>
      <c r="P42" s="13"/>
      <c r="Q42" s="13"/>
      <c r="R42" s="31"/>
    </row>
    <row r="43" spans="1:18" x14ac:dyDescent="0.2">
      <c r="A43" s="11">
        <v>41426</v>
      </c>
      <c r="B43" s="2">
        <v>9491</v>
      </c>
      <c r="C43" s="2">
        <v>2749.1408934707906</v>
      </c>
      <c r="D43" s="2">
        <v>7346.9387755102034</v>
      </c>
      <c r="E43" s="2">
        <v>1666.6666666666667</v>
      </c>
      <c r="F43" s="2">
        <v>1739.1304347826087</v>
      </c>
      <c r="G43" s="2">
        <f t="shared" si="1"/>
        <v>22992.87677043027</v>
      </c>
      <c r="I43" s="13"/>
      <c r="J43" s="13"/>
      <c r="K43" s="13"/>
      <c r="L43" s="31"/>
      <c r="M43" s="31"/>
      <c r="N43" s="31"/>
      <c r="O43" s="13"/>
      <c r="P43" s="13"/>
      <c r="Q43" s="13"/>
      <c r="R43" s="31"/>
    </row>
    <row r="44" spans="1:18" x14ac:dyDescent="0.2">
      <c r="A44" s="11">
        <v>41456</v>
      </c>
      <c r="B44" s="2">
        <v>9182.3899371069183</v>
      </c>
      <c r="C44" s="2">
        <v>2886.5979381443299</v>
      </c>
      <c r="D44" s="2">
        <v>6979.166666666667</v>
      </c>
      <c r="E44" s="2">
        <v>1732.6732673267325</v>
      </c>
      <c r="F44" s="2">
        <v>1702.127659574468</v>
      </c>
      <c r="G44" s="2">
        <f t="shared" si="1"/>
        <v>22482.955468819117</v>
      </c>
      <c r="I44" s="13"/>
      <c r="J44" s="13"/>
      <c r="K44" s="13"/>
      <c r="L44" s="31"/>
      <c r="M44" s="31"/>
      <c r="N44" s="31"/>
      <c r="O44" s="13"/>
      <c r="P44" s="13"/>
      <c r="Q44" s="13"/>
      <c r="R44" s="31"/>
    </row>
    <row r="45" spans="1:18" x14ac:dyDescent="0.2">
      <c r="A45" s="11">
        <v>41487</v>
      </c>
      <c r="B45" s="2">
        <v>8527.6073619631898</v>
      </c>
      <c r="C45" s="2">
        <v>2832.764505119454</v>
      </c>
      <c r="D45" s="2">
        <v>6489.3617021276596</v>
      </c>
      <c r="E45" s="2">
        <v>1700</v>
      </c>
      <c r="F45" s="2">
        <v>1914.8936170212767</v>
      </c>
      <c r="G45" s="2">
        <f t="shared" si="1"/>
        <v>21464.627186231581</v>
      </c>
      <c r="I45" s="13"/>
      <c r="J45" s="13"/>
      <c r="K45" s="13"/>
      <c r="L45" s="31"/>
      <c r="M45" s="31"/>
      <c r="N45" s="31"/>
      <c r="O45" s="13"/>
      <c r="P45" s="13"/>
      <c r="Q45" s="13"/>
      <c r="R45" s="31"/>
    </row>
    <row r="46" spans="1:18" x14ac:dyDescent="0.2">
      <c r="A46" s="11">
        <v>41518</v>
      </c>
      <c r="B46" s="2">
        <v>8292.6829268292677</v>
      </c>
      <c r="C46" s="2">
        <v>2789.1156462585036</v>
      </c>
      <c r="D46" s="2">
        <v>6315.7894736842109</v>
      </c>
      <c r="E46" s="2">
        <v>1641.7910447761194</v>
      </c>
      <c r="F46" s="2">
        <v>2083.3333333333335</v>
      </c>
      <c r="G46" s="2">
        <f t="shared" si="1"/>
        <v>21122.712424881436</v>
      </c>
      <c r="I46" s="13"/>
      <c r="J46" s="13"/>
      <c r="K46" s="13"/>
      <c r="L46" s="31"/>
      <c r="M46" s="31"/>
      <c r="N46" s="31"/>
      <c r="O46" s="13"/>
      <c r="P46" s="13"/>
      <c r="Q46" s="13"/>
      <c r="R46" s="31"/>
    </row>
    <row r="47" spans="1:18" x14ac:dyDescent="0.2">
      <c r="A47" s="11">
        <v>41548</v>
      </c>
      <c r="B47" s="2">
        <v>8220.8588957055217</v>
      </c>
      <c r="C47" s="2">
        <v>2764.5051194539251</v>
      </c>
      <c r="D47" s="2">
        <v>5833.333333333333</v>
      </c>
      <c r="E47" s="2">
        <v>1576.3546798029556</v>
      </c>
      <c r="F47" s="2">
        <v>2127.6595744680849</v>
      </c>
      <c r="G47" s="2">
        <f t="shared" si="1"/>
        <v>20522.711602763822</v>
      </c>
      <c r="I47" s="13"/>
      <c r="J47" s="13"/>
      <c r="K47" s="13"/>
      <c r="L47" s="31"/>
      <c r="M47" s="31"/>
      <c r="N47" s="31"/>
      <c r="O47" s="13"/>
      <c r="P47" s="13"/>
      <c r="Q47" s="13"/>
      <c r="R47" s="31"/>
    </row>
    <row r="48" spans="1:18" x14ac:dyDescent="0.2">
      <c r="A48" s="11">
        <v>41579</v>
      </c>
      <c r="B48" s="2">
        <v>7469.8795180722891</v>
      </c>
      <c r="C48" s="2">
        <v>2745.7627118644068</v>
      </c>
      <c r="D48" s="2">
        <v>5789.4736842105267</v>
      </c>
      <c r="E48" s="2">
        <v>1492.5373134328358</v>
      </c>
      <c r="F48" s="2">
        <v>2291.6666666666665</v>
      </c>
      <c r="G48" s="2">
        <f t="shared" si="1"/>
        <v>19789.319894246728</v>
      </c>
      <c r="I48" s="31"/>
      <c r="J48" s="31"/>
      <c r="K48" s="31"/>
      <c r="L48" s="31"/>
      <c r="M48" s="31"/>
      <c r="N48" s="31"/>
      <c r="O48" s="13"/>
      <c r="P48" s="13"/>
      <c r="Q48" s="13"/>
      <c r="R48" s="31"/>
    </row>
    <row r="49" spans="1:18" x14ac:dyDescent="0.2">
      <c r="A49" s="11">
        <v>41609</v>
      </c>
      <c r="B49" s="2">
        <v>6508.8757396449701</v>
      </c>
      <c r="C49" s="2">
        <v>2533.7837837837837</v>
      </c>
      <c r="D49" s="2">
        <v>5591.3978494623652</v>
      </c>
      <c r="E49" s="2">
        <v>1450</v>
      </c>
      <c r="F49" s="2">
        <v>2244.8979591836733</v>
      </c>
      <c r="G49" s="2">
        <f t="shared" si="1"/>
        <v>18328.955332074791</v>
      </c>
      <c r="I49" s="31"/>
      <c r="J49" s="31"/>
      <c r="K49" s="31"/>
      <c r="L49" s="31"/>
      <c r="M49" s="31"/>
      <c r="N49" s="31"/>
      <c r="O49" s="13"/>
      <c r="P49" s="13"/>
      <c r="Q49" s="13"/>
      <c r="R49" s="31"/>
    </row>
    <row r="50" spans="1:18" x14ac:dyDescent="0.2">
      <c r="A50" s="11">
        <v>41640</v>
      </c>
      <c r="B50" s="2">
        <v>7267.4418604651155</v>
      </c>
      <c r="C50" s="2">
        <v>2635.1351351351354</v>
      </c>
      <c r="D50" s="2">
        <v>5106.3829787234044</v>
      </c>
      <c r="E50" s="2">
        <v>1010.10101010101</v>
      </c>
      <c r="F50" s="2">
        <v>2291.6666666666665</v>
      </c>
      <c r="G50" s="2">
        <f t="shared" si="1"/>
        <v>18310.727651091333</v>
      </c>
      <c r="I50" s="31"/>
      <c r="J50" s="31"/>
      <c r="K50" s="31"/>
      <c r="L50" s="31"/>
      <c r="M50" s="31"/>
      <c r="N50" s="31"/>
      <c r="O50" s="13"/>
      <c r="P50" s="13"/>
      <c r="Q50" s="13"/>
      <c r="R50" s="31"/>
    </row>
    <row r="51" spans="1:18" x14ac:dyDescent="0.2">
      <c r="A51" s="11">
        <v>41671</v>
      </c>
      <c r="B51" s="2">
        <v>8806.8181818181802</v>
      </c>
      <c r="C51" s="2">
        <v>2702.7027027027029</v>
      </c>
      <c r="D51" s="2">
        <v>5473.6842105263158</v>
      </c>
      <c r="E51" s="2">
        <v>1044.7761194029849</v>
      </c>
      <c r="F51" s="2">
        <v>2448.9795918367345</v>
      </c>
      <c r="G51" s="2">
        <f t="shared" si="1"/>
        <v>20476.960806286919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</row>
    <row r="52" spans="1:18" x14ac:dyDescent="0.2">
      <c r="A52" s="11">
        <v>41699</v>
      </c>
      <c r="B52" s="2">
        <v>10167.597765363127</v>
      </c>
      <c r="C52" s="2">
        <v>2794.6127946127949</v>
      </c>
      <c r="D52" s="2">
        <v>6021.5053763440865</v>
      </c>
      <c r="E52" s="2">
        <v>1105.5276381909548</v>
      </c>
      <c r="F52" s="2">
        <v>2400</v>
      </c>
      <c r="G52" s="2">
        <f t="shared" si="1"/>
        <v>22489.243574510961</v>
      </c>
      <c r="I52" s="31"/>
      <c r="J52" s="31"/>
      <c r="K52" s="31"/>
      <c r="L52" s="31"/>
      <c r="M52" s="31"/>
      <c r="N52" s="31"/>
      <c r="O52" s="31"/>
      <c r="P52" s="31"/>
      <c r="Q52" s="31"/>
      <c r="R52" s="31"/>
    </row>
    <row r="53" spans="1:18" x14ac:dyDescent="0.2">
      <c r="A53" s="11">
        <v>41730</v>
      </c>
      <c r="B53" s="2">
        <v>11043.956043956043</v>
      </c>
      <c r="C53" s="2">
        <v>2996.6329966329968</v>
      </c>
      <c r="D53" s="2">
        <v>6063.8297872340427</v>
      </c>
      <c r="E53" s="2">
        <v>1150</v>
      </c>
      <c r="F53" s="2">
        <v>2352.9411764705883</v>
      </c>
      <c r="G53" s="2">
        <f t="shared" si="1"/>
        <v>23607.360004293667</v>
      </c>
      <c r="I53" s="31"/>
      <c r="J53" s="31"/>
      <c r="K53" s="31"/>
      <c r="L53" s="31"/>
      <c r="M53" s="31"/>
      <c r="N53" s="31"/>
      <c r="O53" s="31"/>
      <c r="P53" s="31"/>
      <c r="Q53" s="31"/>
      <c r="R53" s="31"/>
    </row>
    <row r="54" spans="1:18" x14ac:dyDescent="0.2">
      <c r="A54" s="11">
        <v>41760</v>
      </c>
      <c r="B54" s="2">
        <v>12119.565217391304</v>
      </c>
      <c r="C54" s="2">
        <v>3131.3131313131316</v>
      </c>
      <c r="D54" s="2">
        <v>6344.0860215053763</v>
      </c>
      <c r="E54" s="2">
        <v>1243.7810945273632</v>
      </c>
      <c r="F54" s="2">
        <v>2600</v>
      </c>
      <c r="G54" s="2">
        <f t="shared" si="1"/>
        <v>25438.745464737174</v>
      </c>
    </row>
    <row r="55" spans="1:18" x14ac:dyDescent="0.2">
      <c r="A55" s="11">
        <v>41791</v>
      </c>
      <c r="B55" s="2">
        <v>13459.45945945946</v>
      </c>
      <c r="C55" s="2">
        <v>3310.8108108108108</v>
      </c>
      <c r="D55" s="2">
        <v>6593.4065934065939</v>
      </c>
      <c r="E55" s="2">
        <v>1356.7839195979898</v>
      </c>
      <c r="F55" s="2">
        <v>2653.0612244897957</v>
      </c>
      <c r="G55" s="2">
        <f t="shared" si="1"/>
        <v>27373.522007764652</v>
      </c>
    </row>
    <row r="56" spans="1:18" x14ac:dyDescent="0.2">
      <c r="A56" s="11">
        <v>41821</v>
      </c>
      <c r="B56" s="2">
        <v>13048.128342245989</v>
      </c>
      <c r="C56" s="2">
        <v>3389.8305084745766</v>
      </c>
      <c r="D56" s="2">
        <v>6304.347826086957</v>
      </c>
      <c r="E56" s="2">
        <v>1421.3197969543146</v>
      </c>
      <c r="F56" s="2">
        <v>2600</v>
      </c>
      <c r="G56" s="2">
        <f t="shared" si="1"/>
        <v>26763.626473761837</v>
      </c>
    </row>
    <row r="57" spans="1:18" x14ac:dyDescent="0.2">
      <c r="A57" s="11">
        <v>41852</v>
      </c>
      <c r="B57" s="2">
        <v>12275.132275132275</v>
      </c>
      <c r="C57" s="2">
        <v>3277.0270270270271</v>
      </c>
      <c r="D57" s="2">
        <v>6063.8297872340427</v>
      </c>
      <c r="E57" s="2">
        <v>1262.6262626262626</v>
      </c>
      <c r="F57" s="2">
        <v>2549.0196078431372</v>
      </c>
      <c r="G57" s="2">
        <f t="shared" si="1"/>
        <v>25427.634959862742</v>
      </c>
    </row>
    <row r="58" spans="1:18" x14ac:dyDescent="0.2">
      <c r="A58" s="11">
        <v>41883</v>
      </c>
      <c r="B58" s="2">
        <v>11347.150259067357</v>
      </c>
      <c r="C58" s="2">
        <v>3232.3232323232323</v>
      </c>
      <c r="D58" s="2">
        <v>5789.4736842105267</v>
      </c>
      <c r="E58" s="2">
        <v>1173.4693877551019</v>
      </c>
      <c r="F58" s="2">
        <v>2452.8301886792451</v>
      </c>
      <c r="G58" s="2">
        <f t="shared" si="1"/>
        <v>23995.246752035462</v>
      </c>
    </row>
    <row r="59" spans="1:18" x14ac:dyDescent="0.2">
      <c r="A59" s="11">
        <v>41913</v>
      </c>
      <c r="B59" s="2">
        <v>10666.666666666666</v>
      </c>
      <c r="C59" s="2">
        <v>3131.3131313131316</v>
      </c>
      <c r="D59" s="2">
        <v>5698.9247311827958</v>
      </c>
      <c r="E59" s="2">
        <v>1128.2051282051282</v>
      </c>
      <c r="F59" s="2">
        <v>2517</v>
      </c>
      <c r="G59" s="2">
        <f t="shared" si="1"/>
        <v>23142.109657367724</v>
      </c>
    </row>
    <row r="60" spans="1:18" x14ac:dyDescent="0.2">
      <c r="A60" s="11">
        <v>41944</v>
      </c>
      <c r="B60" s="2">
        <v>10459.183673469388</v>
      </c>
      <c r="C60" s="2">
        <v>3087.2483221476509</v>
      </c>
      <c r="D60" s="2">
        <v>5604.3956043956041</v>
      </c>
      <c r="E60" s="2">
        <v>974.35897435897436</v>
      </c>
      <c r="F60" s="2">
        <v>2541</v>
      </c>
      <c r="G60" s="2">
        <f t="shared" si="1"/>
        <v>22666.186574371615</v>
      </c>
    </row>
    <row r="61" spans="1:18" x14ac:dyDescent="0.2">
      <c r="A61" s="11">
        <v>41974</v>
      </c>
      <c r="B61" s="2">
        <v>10082</v>
      </c>
      <c r="C61" s="2">
        <v>3030.3030303030305</v>
      </c>
      <c r="D61" s="2">
        <v>5444.4444444444443</v>
      </c>
      <c r="E61" s="2">
        <v>979.38144329896909</v>
      </c>
      <c r="F61" s="2">
        <v>2452.8301886792451</v>
      </c>
      <c r="G61" s="2">
        <f t="shared" si="1"/>
        <v>21988.959106725684</v>
      </c>
    </row>
    <row r="63" spans="1:18" x14ac:dyDescent="0.2">
      <c r="A63" s="4" t="s">
        <v>10</v>
      </c>
      <c r="B63" s="3">
        <f>AVERAGE(IndustryTractorSales[NA])</f>
        <v>7726.2683074933566</v>
      </c>
      <c r="C63" s="3">
        <f>AVERAGE(IndustryTractorSales[SA])</f>
        <v>2092.9080192389379</v>
      </c>
      <c r="D63" s="3">
        <f>AVERAGE(IndustryTractorSales[Eur])</f>
        <v>6436.14960262359</v>
      </c>
      <c r="E63" s="3">
        <f>AVERAGE(IndustryTractorSales[Pac])</f>
        <v>1322.7270041123716</v>
      </c>
      <c r="F63" s="3">
        <f>AVERAGE(IndustryTractorSales[China])</f>
        <v>1069.8854180122783</v>
      </c>
      <c r="G63" s="3">
        <f>AVERAGE(IndustryTractorSales[World])</f>
        <v>18647.93835148053</v>
      </c>
    </row>
    <row r="64" spans="1:18" x14ac:dyDescent="0.2">
      <c r="A64" s="4" t="s">
        <v>27</v>
      </c>
      <c r="B64" s="3">
        <f>MEDIAN(IndustryTractorSales[NA])</f>
        <v>7559.5238095238092</v>
      </c>
      <c r="C64" s="3">
        <f>MEDIAN(IndustryTractorSales[SA])</f>
        <v>2176.3518496952756</v>
      </c>
      <c r="D64" s="3">
        <f>MEDIAN(IndustryTractorSales[Eur])</f>
        <v>6318.2720953326716</v>
      </c>
      <c r="E64" s="3">
        <f>MEDIAN(IndustryTractorSales[Pac])</f>
        <v>1298.1969486823855</v>
      </c>
      <c r="F64" s="3">
        <f>MEDIAN(IndustryTractorSales[China])</f>
        <v>588.74458874458867</v>
      </c>
      <c r="G64" s="3">
        <f>MEDIAN(IndustryTractorSales[World])</f>
        <v>17747.65170667211</v>
      </c>
    </row>
    <row r="65" spans="1:7" x14ac:dyDescent="0.2">
      <c r="A65" s="4" t="s">
        <v>28</v>
      </c>
      <c r="B65" s="3" t="e">
        <f>_xlfn.MODE.SNGL(IndustryTractorSales[NA])</f>
        <v>#N/A</v>
      </c>
      <c r="C65" s="3">
        <f>_xlfn.MODE.SNGL(IndustryTractorSales[SA])</f>
        <v>1056.6037735849056</v>
      </c>
      <c r="D65" s="3">
        <f>_xlfn.MODE.SNGL(IndustryTractorSales[Eur])</f>
        <v>6666.666666666667</v>
      </c>
      <c r="E65" s="3">
        <f>_xlfn.MODE.SNGL(IndustryTractorSales[Pac])</f>
        <v>1126.7605633802816</v>
      </c>
      <c r="F65" s="3">
        <f>_xlfn.MODE.SNGL(IndustryTractorSales[China])</f>
        <v>315</v>
      </c>
      <c r="G65" s="3" t="e">
        <f>_xlfn.MODE.SNGL(IndustryTractorSales[World])</f>
        <v>#N/A</v>
      </c>
    </row>
    <row r="66" spans="1:7" x14ac:dyDescent="0.2">
      <c r="A66" s="4" t="s">
        <v>39</v>
      </c>
      <c r="B66" s="3">
        <f>_xlfn.STDEV.P(IndustryTractorSales[NA])</f>
        <v>2257.1675502645726</v>
      </c>
      <c r="C66" s="3">
        <f>_xlfn.STDEV.P(IndustryTractorSales[SA])</f>
        <v>743.90697074421735</v>
      </c>
      <c r="D66" s="3">
        <f>_xlfn.STDEV.P(IndustryTractorSales[Eur])</f>
        <v>827.31875581036377</v>
      </c>
      <c r="E66" s="3">
        <f>_xlfn.STDEV.P(IndustryTractorSales[Pac])</f>
        <v>191.91144603125329</v>
      </c>
      <c r="F66" s="3">
        <f>_xlfn.STDEV.P(IndustryTractorSales[China])</f>
        <v>899.47263399528413</v>
      </c>
      <c r="G66" s="3">
        <f>_xlfn.STDEV.P(IndustryTractorSales[World])</f>
        <v>3592.9003579337032</v>
      </c>
    </row>
  </sheetData>
  <phoneticPr fontId="0" type="noConversion"/>
  <pageMargins left="0.75" right="0.75" top="1" bottom="1" header="0.5" footer="0.5"/>
  <pageSetup scale="79" orientation="portrait" horizontalDpi="4294967292" r:id="rId1"/>
  <headerFooter alignWithMargins="0"/>
  <drawing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1143E-0E6B-41ED-8A86-A7CF13732793}">
  <dimension ref="A1:I61"/>
  <sheetViews>
    <sheetView workbookViewId="0">
      <selection activeCell="I16" sqref="I16"/>
    </sheetView>
  </sheetViews>
  <sheetFormatPr defaultRowHeight="12.75" x14ac:dyDescent="0.2"/>
  <cols>
    <col min="1" max="1" width="11.85546875" style="55" customWidth="1"/>
    <col min="2" max="5" width="11.85546875" customWidth="1"/>
    <col min="7" max="9" width="13.42578125" customWidth="1"/>
  </cols>
  <sheetData>
    <row r="1" spans="1:9" ht="13.5" thickBot="1" x14ac:dyDescent="0.25">
      <c r="A1" s="55" t="str">
        <f>'Mower Unit Sales'!A1</f>
        <v>Month</v>
      </c>
      <c r="B1" s="26" t="s">
        <v>80</v>
      </c>
      <c r="C1" s="26" t="s">
        <v>81</v>
      </c>
      <c r="D1" s="26" t="s">
        <v>82</v>
      </c>
      <c r="E1" s="26" t="s">
        <v>83</v>
      </c>
    </row>
    <row r="2" spans="1:9" x14ac:dyDescent="0.2">
      <c r="A2" s="55">
        <f>'Mower Unit Sales'!A2</f>
        <v>40179</v>
      </c>
      <c r="B2">
        <f>'Mower Unit Sales'!G2</f>
        <v>7020</v>
      </c>
      <c r="C2" s="2">
        <f>'Industry Mower Total Sales'!F2</f>
        <v>74662.337662337668</v>
      </c>
      <c r="D2">
        <f>'Tractor Unit Sales'!G2</f>
        <v>1592</v>
      </c>
      <c r="E2" s="2">
        <f>'Industry Tractor Total Sales'!G2</f>
        <v>15482.766233766233</v>
      </c>
      <c r="G2" s="15"/>
      <c r="H2" s="15" t="s">
        <v>80</v>
      </c>
      <c r="I2" s="15" t="s">
        <v>81</v>
      </c>
    </row>
    <row r="3" spans="1:9" x14ac:dyDescent="0.2">
      <c r="A3" s="55">
        <f>'Mower Unit Sales'!A3</f>
        <v>40210</v>
      </c>
      <c r="B3">
        <f>'Mower Unit Sales'!G3</f>
        <v>9280</v>
      </c>
      <c r="C3" s="2">
        <f>'Industry Mower Total Sales'!F3</f>
        <v>96585.259670211133</v>
      </c>
      <c r="D3">
        <f>'Tractor Unit Sales'!G3</f>
        <v>1711</v>
      </c>
      <c r="E3" s="2">
        <f>'Industry Tractor Total Sales'!G3</f>
        <v>16324.914860001461</v>
      </c>
      <c r="G3" s="13" t="s">
        <v>80</v>
      </c>
      <c r="H3" s="13">
        <v>1</v>
      </c>
      <c r="I3" s="13"/>
    </row>
    <row r="4" spans="1:9" ht="13.5" thickBot="1" x14ac:dyDescent="0.25">
      <c r="A4" s="55">
        <f>'Mower Unit Sales'!A4</f>
        <v>40238</v>
      </c>
      <c r="B4">
        <f>'Mower Unit Sales'!G4</f>
        <v>9780</v>
      </c>
      <c r="C4" s="2">
        <f>'Industry Mower Total Sales'!F4</f>
        <v>102369.09197616122</v>
      </c>
      <c r="D4">
        <f>'Tractor Unit Sales'!G4</f>
        <v>1810</v>
      </c>
      <c r="E4" s="2">
        <f>'Industry Tractor Total Sales'!G4</f>
        <v>17128.951121110222</v>
      </c>
      <c r="G4" s="14" t="s">
        <v>81</v>
      </c>
      <c r="H4" s="14">
        <v>0.99047985448452636</v>
      </c>
      <c r="I4" s="14">
        <v>1</v>
      </c>
    </row>
    <row r="5" spans="1:9" ht="13.5" thickBot="1" x14ac:dyDescent="0.25">
      <c r="A5" s="55">
        <f>'Mower Unit Sales'!A5</f>
        <v>40269</v>
      </c>
      <c r="B5">
        <f>'Mower Unit Sales'!G5</f>
        <v>11100</v>
      </c>
      <c r="C5" s="2">
        <f>'Industry Mower Total Sales'!F5</f>
        <v>116171.4690652311</v>
      </c>
      <c r="D5">
        <f>'Tractor Unit Sales'!G5</f>
        <v>1867</v>
      </c>
      <c r="E5" s="2">
        <f>'Industry Tractor Total Sales'!G5</f>
        <v>17327.142572071632</v>
      </c>
    </row>
    <row r="6" spans="1:9" x14ac:dyDescent="0.2">
      <c r="A6" s="55">
        <f>'Mower Unit Sales'!A6</f>
        <v>40299</v>
      </c>
      <c r="B6">
        <f>'Mower Unit Sales'!G6</f>
        <v>11930</v>
      </c>
      <c r="C6" s="2">
        <f>'Industry Mower Total Sales'!F6</f>
        <v>126210.0872953198</v>
      </c>
      <c r="D6">
        <f>'Tractor Unit Sales'!G6</f>
        <v>1779</v>
      </c>
      <c r="E6" s="2">
        <f>'Industry Tractor Total Sales'!G6</f>
        <v>16277.546764865925</v>
      </c>
      <c r="G6" s="15"/>
      <c r="H6" s="15" t="s">
        <v>82</v>
      </c>
      <c r="I6" s="15" t="s">
        <v>83</v>
      </c>
    </row>
    <row r="7" spans="1:9" x14ac:dyDescent="0.2">
      <c r="A7" s="55">
        <f>'Mower Unit Sales'!A7</f>
        <v>40330</v>
      </c>
      <c r="B7">
        <f>'Mower Unit Sales'!G7</f>
        <v>12240</v>
      </c>
      <c r="C7" s="2">
        <f>'Industry Mower Total Sales'!F7</f>
        <v>129767.71840811797</v>
      </c>
      <c r="D7">
        <f>'Tractor Unit Sales'!G7</f>
        <v>1740</v>
      </c>
      <c r="E7" s="2">
        <f>'Industry Tractor Total Sales'!G7</f>
        <v>15448.197457853095</v>
      </c>
      <c r="G7" s="13" t="s">
        <v>82</v>
      </c>
      <c r="H7" s="13">
        <v>1</v>
      </c>
      <c r="I7" s="13"/>
    </row>
    <row r="8" spans="1:9" ht="13.5" thickBot="1" x14ac:dyDescent="0.25">
      <c r="A8" s="55">
        <f>'Mower Unit Sales'!A8</f>
        <v>40360</v>
      </c>
      <c r="B8">
        <f>'Mower Unit Sales'!G8</f>
        <v>10740</v>
      </c>
      <c r="C8" s="2">
        <f>'Industry Mower Total Sales'!F8</f>
        <v>116409.43414729823</v>
      </c>
      <c r="D8">
        <f>'Tractor Unit Sales'!G8</f>
        <v>1826</v>
      </c>
      <c r="E8" s="2">
        <f>'Industry Tractor Total Sales'!G8</f>
        <v>15905.034156272297</v>
      </c>
      <c r="G8" s="14" t="s">
        <v>83</v>
      </c>
      <c r="H8" s="14">
        <v>0.96027679153714973</v>
      </c>
      <c r="I8" s="14">
        <v>1</v>
      </c>
    </row>
    <row r="9" spans="1:9" x14ac:dyDescent="0.2">
      <c r="A9" s="55">
        <f>'Mower Unit Sales'!A9</f>
        <v>40391</v>
      </c>
      <c r="B9">
        <f>'Mower Unit Sales'!G9</f>
        <v>10080</v>
      </c>
      <c r="C9" s="2">
        <f>'Industry Mower Total Sales'!F9</f>
        <v>110140.94728800612</v>
      </c>
      <c r="D9">
        <f>'Tractor Unit Sales'!G9</f>
        <v>1695</v>
      </c>
      <c r="E9" s="2">
        <f>'Industry Tractor Total Sales'!G9</f>
        <v>14422.488274490119</v>
      </c>
    </row>
    <row r="10" spans="1:9" x14ac:dyDescent="0.2">
      <c r="A10" s="55">
        <f>'Mower Unit Sales'!A10</f>
        <v>40422</v>
      </c>
      <c r="B10">
        <f>'Mower Unit Sales'!G10</f>
        <v>8430</v>
      </c>
      <c r="C10" s="2">
        <f>'Industry Mower Total Sales'!F10</f>
        <v>95064.953271028033</v>
      </c>
      <c r="D10">
        <f>'Tractor Unit Sales'!G10</f>
        <v>1681</v>
      </c>
      <c r="E10" s="2">
        <f>'Industry Tractor Total Sales'!G10</f>
        <v>14258.449098057057</v>
      </c>
    </row>
    <row r="11" spans="1:9" x14ac:dyDescent="0.2">
      <c r="A11" s="55">
        <f>'Mower Unit Sales'!A11</f>
        <v>40452</v>
      </c>
      <c r="B11">
        <f>'Mower Unit Sales'!G11</f>
        <v>7650</v>
      </c>
      <c r="C11" s="2">
        <f>'Industry Mower Total Sales'!F11</f>
        <v>85499.815885954507</v>
      </c>
      <c r="D11">
        <f>'Tractor Unit Sales'!G11</f>
        <v>1663</v>
      </c>
      <c r="E11" s="2">
        <f>'Industry Tractor Total Sales'!G11</f>
        <v>14061.313274984424</v>
      </c>
    </row>
    <row r="12" spans="1:9" x14ac:dyDescent="0.2">
      <c r="A12" s="55">
        <f>'Mower Unit Sales'!A12</f>
        <v>40483</v>
      </c>
      <c r="B12">
        <f>'Mower Unit Sales'!G12</f>
        <v>6650</v>
      </c>
      <c r="C12" s="2">
        <f>'Industry Mower Total Sales'!F12</f>
        <v>71971.630246375498</v>
      </c>
      <c r="D12">
        <f>'Tractor Unit Sales'!G12</f>
        <v>1825</v>
      </c>
      <c r="E12" s="2">
        <f>'Industry Tractor Total Sales'!G12</f>
        <v>15378.161881302714</v>
      </c>
    </row>
    <row r="13" spans="1:9" x14ac:dyDescent="0.2">
      <c r="A13" s="55">
        <f>'Mower Unit Sales'!A13</f>
        <v>40513</v>
      </c>
      <c r="B13">
        <f>'Mower Unit Sales'!G13</f>
        <v>5620</v>
      </c>
      <c r="C13" s="2">
        <f>'Industry Mower Total Sales'!F13</f>
        <v>59349.050953399485</v>
      </c>
      <c r="D13">
        <f>'Tractor Unit Sales'!G13</f>
        <v>1720</v>
      </c>
      <c r="E13" s="2">
        <f>'Industry Tractor Total Sales'!G13</f>
        <v>14272.286136988971</v>
      </c>
    </row>
    <row r="14" spans="1:9" x14ac:dyDescent="0.2">
      <c r="A14" s="55">
        <f>'Mower Unit Sales'!A14</f>
        <v>40544</v>
      </c>
      <c r="B14">
        <f>'Mower Unit Sales'!G14</f>
        <v>7020</v>
      </c>
      <c r="C14" s="2">
        <f>'Industry Mower Total Sales'!F14</f>
        <v>73401.159306189467</v>
      </c>
      <c r="D14">
        <f>'Tractor Unit Sales'!G14</f>
        <v>1761</v>
      </c>
      <c r="E14" s="2">
        <f>'Industry Tractor Total Sales'!G14</f>
        <v>14288.568689879334</v>
      </c>
    </row>
    <row r="15" spans="1:9" x14ac:dyDescent="0.2">
      <c r="A15" s="55">
        <f>'Mower Unit Sales'!A15</f>
        <v>40575</v>
      </c>
      <c r="B15">
        <f>'Mower Unit Sales'!G15</f>
        <v>9030</v>
      </c>
      <c r="C15" s="2">
        <f>'Industry Mower Total Sales'!F15</f>
        <v>96544.821844821839</v>
      </c>
      <c r="D15">
        <f>'Tractor Unit Sales'!G15</f>
        <v>2035</v>
      </c>
      <c r="E15" s="2">
        <f>'Industry Tractor Total Sales'!G15</f>
        <v>16530.131656703088</v>
      </c>
    </row>
    <row r="16" spans="1:9" x14ac:dyDescent="0.2">
      <c r="A16" s="55">
        <f>'Mower Unit Sales'!A16</f>
        <v>40603</v>
      </c>
      <c r="B16">
        <f>'Mower Unit Sales'!G16</f>
        <v>10050</v>
      </c>
      <c r="C16" s="2">
        <f>'Industry Mower Total Sales'!F16</f>
        <v>108790.61977405171</v>
      </c>
      <c r="D16">
        <f>'Tractor Unit Sales'!G16</f>
        <v>2142</v>
      </c>
      <c r="E16" s="2">
        <f>'Industry Tractor Total Sales'!G16</f>
        <v>17319.936698686888</v>
      </c>
    </row>
    <row r="17" spans="1:5" x14ac:dyDescent="0.2">
      <c r="A17" s="55">
        <f>'Mower Unit Sales'!A17</f>
        <v>40634</v>
      </c>
      <c r="B17">
        <f>'Mower Unit Sales'!G17</f>
        <v>10890</v>
      </c>
      <c r="C17" s="2">
        <f>'Industry Mower Total Sales'!F17</f>
        <v>116584.48308448309</v>
      </c>
      <c r="D17">
        <f>'Tractor Unit Sales'!G17</f>
        <v>2340</v>
      </c>
      <c r="E17" s="2">
        <f>'Industry Tractor Total Sales'!G17</f>
        <v>18841.798534798534</v>
      </c>
    </row>
    <row r="18" spans="1:5" x14ac:dyDescent="0.2">
      <c r="A18" s="55">
        <f>'Mower Unit Sales'!A18</f>
        <v>40664</v>
      </c>
      <c r="B18">
        <f>'Mower Unit Sales'!G18</f>
        <v>11420</v>
      </c>
      <c r="C18" s="2">
        <f>'Industry Mower Total Sales'!F18</f>
        <v>124625.39283146759</v>
      </c>
      <c r="D18">
        <f>'Tractor Unit Sales'!G18</f>
        <v>2280</v>
      </c>
      <c r="E18" s="2">
        <f>'Industry Tractor Total Sales'!G18</f>
        <v>17826.118235756883</v>
      </c>
    </row>
    <row r="19" spans="1:5" x14ac:dyDescent="0.2">
      <c r="A19" s="55">
        <f>'Mower Unit Sales'!A19</f>
        <v>40695</v>
      </c>
      <c r="B19">
        <f>'Mower Unit Sales'!G19</f>
        <v>12270</v>
      </c>
      <c r="C19" s="2">
        <f>'Industry Mower Total Sales'!F19</f>
        <v>122584.96427461944</v>
      </c>
      <c r="D19">
        <f>'Tractor Unit Sales'!G19</f>
        <v>2271</v>
      </c>
      <c r="E19" s="2">
        <f>'Industry Tractor Total Sales'!G19</f>
        <v>17669.185177587337</v>
      </c>
    </row>
    <row r="20" spans="1:5" x14ac:dyDescent="0.2">
      <c r="A20" s="55">
        <f>'Mower Unit Sales'!A20</f>
        <v>40725</v>
      </c>
      <c r="B20">
        <f>'Mower Unit Sales'!G20</f>
        <v>10720</v>
      </c>
      <c r="C20" s="2">
        <f>'Industry Mower Total Sales'!F20</f>
        <v>112594.2923346101</v>
      </c>
      <c r="D20">
        <f>'Tractor Unit Sales'!G20</f>
        <v>2154</v>
      </c>
      <c r="E20" s="2">
        <f>'Industry Tractor Total Sales'!G20</f>
        <v>16486.583392143024</v>
      </c>
    </row>
    <row r="21" spans="1:5" x14ac:dyDescent="0.2">
      <c r="A21" s="55">
        <f>'Mower Unit Sales'!A21</f>
        <v>40756</v>
      </c>
      <c r="B21">
        <f>'Mower Unit Sales'!G21</f>
        <v>9650</v>
      </c>
      <c r="C21" s="2">
        <f>'Industry Mower Total Sales'!F21</f>
        <v>104164.4014920714</v>
      </c>
      <c r="D21">
        <f>'Tractor Unit Sales'!G21</f>
        <v>2146</v>
      </c>
      <c r="E21" s="2">
        <f>'Industry Tractor Total Sales'!G21</f>
        <v>16250.197845241324</v>
      </c>
    </row>
    <row r="22" spans="1:5" x14ac:dyDescent="0.2">
      <c r="A22" s="55">
        <f>'Mower Unit Sales'!A22</f>
        <v>40787</v>
      </c>
      <c r="B22">
        <f>'Mower Unit Sales'!G22</f>
        <v>8310</v>
      </c>
      <c r="C22" s="2">
        <f>'Industry Mower Total Sales'!F22</f>
        <v>92240.544372553719</v>
      </c>
      <c r="D22">
        <f>'Tractor Unit Sales'!G22</f>
        <v>2085</v>
      </c>
      <c r="E22" s="2">
        <f>'Industry Tractor Total Sales'!G22</f>
        <v>15692.395084793767</v>
      </c>
    </row>
    <row r="23" spans="1:5" x14ac:dyDescent="0.2">
      <c r="A23" s="55">
        <f>'Mower Unit Sales'!A23</f>
        <v>40817</v>
      </c>
      <c r="B23">
        <f>'Mower Unit Sales'!G23</f>
        <v>7510</v>
      </c>
      <c r="C23" s="2">
        <f>'Industry Mower Total Sales'!F23</f>
        <v>81470.278530525859</v>
      </c>
      <c r="D23">
        <f>'Tractor Unit Sales'!G23</f>
        <v>1970</v>
      </c>
      <c r="E23" s="2">
        <f>'Industry Tractor Total Sales'!G23</f>
        <v>14844.192904023907</v>
      </c>
    </row>
    <row r="24" spans="1:5" x14ac:dyDescent="0.2">
      <c r="A24" s="55">
        <f>'Mower Unit Sales'!A24</f>
        <v>40848</v>
      </c>
      <c r="B24">
        <f>'Mower Unit Sales'!G24</f>
        <v>6250</v>
      </c>
      <c r="C24" s="2">
        <f>'Industry Mower Total Sales'!F24</f>
        <v>67385.812036297473</v>
      </c>
      <c r="D24">
        <f>'Tractor Unit Sales'!G24</f>
        <v>1936</v>
      </c>
      <c r="E24" s="2">
        <f>'Industry Tractor Total Sales'!G24</f>
        <v>14401.927547412819</v>
      </c>
    </row>
    <row r="25" spans="1:5" x14ac:dyDescent="0.2">
      <c r="A25" s="55">
        <f>'Mower Unit Sales'!A25</f>
        <v>40878</v>
      </c>
      <c r="B25">
        <f>'Mower Unit Sales'!G25</f>
        <v>5370</v>
      </c>
      <c r="C25" s="2">
        <f>'Industry Mower Total Sales'!F25</f>
        <v>57489.31930495776</v>
      </c>
      <c r="D25">
        <f>'Tractor Unit Sales'!G25</f>
        <v>1850</v>
      </c>
      <c r="E25" s="2">
        <f>'Industry Tractor Total Sales'!G25</f>
        <v>13716.252350356897</v>
      </c>
    </row>
    <row r="26" spans="1:5" x14ac:dyDescent="0.2">
      <c r="A26" s="55">
        <f>'Mower Unit Sales'!A26</f>
        <v>40909</v>
      </c>
      <c r="B26">
        <f>'Mower Unit Sales'!G26</f>
        <v>6970</v>
      </c>
      <c r="C26" s="2">
        <f>'Industry Mower Total Sales'!F26</f>
        <v>70892.173174271666</v>
      </c>
      <c r="D26">
        <f>'Tractor Unit Sales'!G26</f>
        <v>2000</v>
      </c>
      <c r="E26" s="2">
        <f>'Industry Tractor Total Sales'!G26</f>
        <v>14597.070572265766</v>
      </c>
    </row>
    <row r="27" spans="1:5" x14ac:dyDescent="0.2">
      <c r="A27" s="55">
        <f>'Mower Unit Sales'!A27</f>
        <v>40940</v>
      </c>
      <c r="B27">
        <f>'Mower Unit Sales'!G27</f>
        <v>9160</v>
      </c>
      <c r="C27" s="2">
        <f>'Industry Mower Total Sales'!F27</f>
        <v>94916.89335037327</v>
      </c>
      <c r="D27">
        <f>'Tractor Unit Sales'!G27</f>
        <v>2324</v>
      </c>
      <c r="E27" s="2">
        <f>'Industry Tractor Total Sales'!G27</f>
        <v>16836.379860012879</v>
      </c>
    </row>
    <row r="28" spans="1:5" x14ac:dyDescent="0.2">
      <c r="A28" s="55">
        <f>'Mower Unit Sales'!A28</f>
        <v>40969</v>
      </c>
      <c r="B28">
        <f>'Mower Unit Sales'!G28</f>
        <v>9970</v>
      </c>
      <c r="C28" s="2">
        <f>'Industry Mower Total Sales'!F28</f>
        <v>104582.56185890571</v>
      </c>
      <c r="D28">
        <f>'Tractor Unit Sales'!G28</f>
        <v>2510</v>
      </c>
      <c r="E28" s="2">
        <f>'Industry Tractor Total Sales'!G28</f>
        <v>18411.98809066278</v>
      </c>
    </row>
    <row r="29" spans="1:5" x14ac:dyDescent="0.2">
      <c r="A29" s="55">
        <f>'Mower Unit Sales'!A29</f>
        <v>41000</v>
      </c>
      <c r="B29">
        <f>'Mower Unit Sales'!G29</f>
        <v>11020</v>
      </c>
      <c r="C29" s="2">
        <f>'Industry Mower Total Sales'!F29</f>
        <v>115211.12401600207</v>
      </c>
      <c r="D29">
        <f>'Tractor Unit Sales'!G29</f>
        <v>2672</v>
      </c>
      <c r="E29" s="2">
        <f>'Industry Tractor Total Sales'!G29</f>
        <v>19851.693436535279</v>
      </c>
    </row>
    <row r="30" spans="1:5" x14ac:dyDescent="0.2">
      <c r="A30" s="55">
        <f>'Mower Unit Sales'!A30</f>
        <v>41030</v>
      </c>
      <c r="B30">
        <f>'Mower Unit Sales'!G30</f>
        <v>11780</v>
      </c>
      <c r="C30" s="2">
        <f>'Industry Mower Total Sales'!F30</f>
        <v>118949.22583022068</v>
      </c>
      <c r="D30">
        <f>'Tractor Unit Sales'!G30</f>
        <v>2780</v>
      </c>
      <c r="E30" s="2">
        <f>'Industry Tractor Total Sales'!G30</f>
        <v>20512.74866096452</v>
      </c>
    </row>
    <row r="31" spans="1:5" x14ac:dyDescent="0.2">
      <c r="A31" s="55">
        <f>'Mower Unit Sales'!A31</f>
        <v>41061</v>
      </c>
      <c r="B31">
        <f>'Mower Unit Sales'!G31</f>
        <v>12280</v>
      </c>
      <c r="C31" s="2">
        <f>'Industry Mower Total Sales'!F31</f>
        <v>127801.08678327154</v>
      </c>
      <c r="D31">
        <f>'Tractor Unit Sales'!G31</f>
        <v>2813</v>
      </c>
      <c r="E31" s="2">
        <f>'Industry Tractor Total Sales'!G31</f>
        <v>20354.532003465676</v>
      </c>
    </row>
    <row r="32" spans="1:5" x14ac:dyDescent="0.2">
      <c r="A32" s="55">
        <f>'Mower Unit Sales'!A32</f>
        <v>41091</v>
      </c>
      <c r="B32">
        <f>'Mower Unit Sales'!G32</f>
        <v>10960</v>
      </c>
      <c r="C32" s="2">
        <f>'Industry Mower Total Sales'!F32</f>
        <v>113215.6013997898</v>
      </c>
      <c r="D32">
        <f>'Tractor Unit Sales'!G32</f>
        <v>2716</v>
      </c>
      <c r="E32" s="2">
        <f>'Industry Tractor Total Sales'!G32</f>
        <v>19716.047149488833</v>
      </c>
    </row>
    <row r="33" spans="1:5" x14ac:dyDescent="0.2">
      <c r="A33" s="55">
        <f>'Mower Unit Sales'!A33</f>
        <v>41122</v>
      </c>
      <c r="B33">
        <f>'Mower Unit Sales'!G33</f>
        <v>9500</v>
      </c>
      <c r="C33" s="2">
        <f>'Industry Mower Total Sales'!F33</f>
        <v>99325.104141141885</v>
      </c>
      <c r="D33">
        <f>'Tractor Unit Sales'!G33</f>
        <v>2581</v>
      </c>
      <c r="E33" s="2">
        <f>'Industry Tractor Total Sales'!G33</f>
        <v>18574.988153479833</v>
      </c>
    </row>
    <row r="34" spans="1:5" x14ac:dyDescent="0.2">
      <c r="A34" s="55">
        <f>'Mower Unit Sales'!A34</f>
        <v>41153</v>
      </c>
      <c r="B34">
        <f>'Mower Unit Sales'!G34</f>
        <v>8230</v>
      </c>
      <c r="C34" s="2">
        <f>'Industry Mower Total Sales'!F34</f>
        <v>86863.28400281888</v>
      </c>
      <c r="D34">
        <f>'Tractor Unit Sales'!G34</f>
        <v>2476</v>
      </c>
      <c r="E34" s="2">
        <f>'Industry Tractor Total Sales'!G34</f>
        <v>17394.316233672835</v>
      </c>
    </row>
    <row r="35" spans="1:5" x14ac:dyDescent="0.2">
      <c r="A35" s="55">
        <f>'Mower Unit Sales'!A35</f>
        <v>41183</v>
      </c>
      <c r="B35">
        <f>'Mower Unit Sales'!G35</f>
        <v>7420</v>
      </c>
      <c r="C35" s="2">
        <f>'Industry Mower Total Sales'!F35</f>
        <v>77192.722371967655</v>
      </c>
      <c r="D35">
        <f>'Tractor Unit Sales'!G35</f>
        <v>2317</v>
      </c>
      <c r="E35" s="2">
        <f>'Industry Tractor Total Sales'!G35</f>
        <v>16226.294679961897</v>
      </c>
    </row>
    <row r="36" spans="1:5" x14ac:dyDescent="0.2">
      <c r="A36" s="55">
        <f>'Mower Unit Sales'!A36</f>
        <v>41214</v>
      </c>
      <c r="B36">
        <f>'Mower Unit Sales'!G36</f>
        <v>6630</v>
      </c>
      <c r="C36" s="2">
        <f>'Industry Mower Total Sales'!F36</f>
        <v>68558.441558441569</v>
      </c>
      <c r="D36">
        <f>'Tractor Unit Sales'!G36</f>
        <v>2324</v>
      </c>
      <c r="E36" s="2">
        <f>'Industry Tractor Total Sales'!G36</f>
        <v>15587.291692924258</v>
      </c>
    </row>
    <row r="37" spans="1:5" x14ac:dyDescent="0.2">
      <c r="A37" s="55">
        <f>'Mower Unit Sales'!A37</f>
        <v>41244</v>
      </c>
      <c r="B37">
        <f>'Mower Unit Sales'!G37</f>
        <v>5350</v>
      </c>
      <c r="C37" s="2">
        <f>'Industry Mower Total Sales'!F37</f>
        <v>53981.684981684986</v>
      </c>
      <c r="D37">
        <f>'Tractor Unit Sales'!G37</f>
        <v>2080</v>
      </c>
      <c r="E37" s="2">
        <f>'Industry Tractor Total Sales'!G37</f>
        <v>14206.644033761471</v>
      </c>
    </row>
    <row r="38" spans="1:5" x14ac:dyDescent="0.2">
      <c r="A38" s="55">
        <f>'Mower Unit Sales'!A38</f>
        <v>41275</v>
      </c>
      <c r="B38">
        <f>'Mower Unit Sales'!G38</f>
        <v>7030</v>
      </c>
      <c r="C38" s="2">
        <f>'Industry Mower Total Sales'!F38</f>
        <v>69134.854468334073</v>
      </c>
      <c r="D38">
        <f>'Tractor Unit Sales'!G38</f>
        <v>2202</v>
      </c>
      <c r="E38" s="2">
        <f>'Industry Tractor Total Sales'!G38</f>
        <v>14394.284228843051</v>
      </c>
    </row>
    <row r="39" spans="1:5" x14ac:dyDescent="0.2">
      <c r="A39" s="55">
        <f>'Mower Unit Sales'!A39</f>
        <v>41306</v>
      </c>
      <c r="B39">
        <f>'Mower Unit Sales'!G39</f>
        <v>9220</v>
      </c>
      <c r="C39" s="2">
        <f>'Industry Mower Total Sales'!F39</f>
        <v>91182.229030502291</v>
      </c>
      <c r="D39">
        <f>'Tractor Unit Sales'!G39</f>
        <v>2540</v>
      </c>
      <c r="E39" s="2">
        <f>'Industry Tractor Total Sales'!G39</f>
        <v>17217.84275141493</v>
      </c>
    </row>
    <row r="40" spans="1:5" x14ac:dyDescent="0.2">
      <c r="A40" s="55">
        <f>'Mower Unit Sales'!A40</f>
        <v>41334</v>
      </c>
      <c r="B40">
        <f>'Mower Unit Sales'!G40</f>
        <v>10050</v>
      </c>
      <c r="C40" s="2">
        <f>'Industry Mower Total Sales'!F40</f>
        <v>102486.18584480653</v>
      </c>
      <c r="D40">
        <f>'Tractor Unit Sales'!G40</f>
        <v>2867</v>
      </c>
      <c r="E40" s="2">
        <f>'Industry Tractor Total Sales'!G40</f>
        <v>19310.345428733319</v>
      </c>
    </row>
    <row r="41" spans="1:5" x14ac:dyDescent="0.2">
      <c r="A41" s="55">
        <f>'Mower Unit Sales'!A41</f>
        <v>41365</v>
      </c>
      <c r="B41">
        <f>'Mower Unit Sales'!G41</f>
        <v>11050</v>
      </c>
      <c r="C41" s="2">
        <f>'Industry Mower Total Sales'!F41</f>
        <v>113027.1631472037</v>
      </c>
      <c r="D41">
        <f>'Tractor Unit Sales'!G41</f>
        <v>3348</v>
      </c>
      <c r="E41" s="2">
        <f>'Industry Tractor Total Sales'!G41</f>
        <v>22901.14702757735</v>
      </c>
    </row>
    <row r="42" spans="1:5" x14ac:dyDescent="0.2">
      <c r="A42" s="55">
        <f>'Mower Unit Sales'!A42</f>
        <v>41395</v>
      </c>
      <c r="B42">
        <f>'Mower Unit Sales'!G42</f>
        <v>11640</v>
      </c>
      <c r="C42" s="2">
        <f>'Industry Mower Total Sales'!F42</f>
        <v>115831.65163450023</v>
      </c>
      <c r="D42">
        <f>'Tractor Unit Sales'!G42</f>
        <v>3550</v>
      </c>
      <c r="E42" s="2">
        <f>'Industry Tractor Total Sales'!G42</f>
        <v>24243.665423662034</v>
      </c>
    </row>
    <row r="43" spans="1:5" x14ac:dyDescent="0.2">
      <c r="A43" s="55">
        <f>'Mower Unit Sales'!A43</f>
        <v>41426</v>
      </c>
      <c r="B43">
        <f>'Mower Unit Sales'!G43</f>
        <v>12040</v>
      </c>
      <c r="C43" s="2">
        <f>'Industry Mower Total Sales'!F43</f>
        <v>122481.76866738955</v>
      </c>
      <c r="D43">
        <f>'Tractor Unit Sales'!G43</f>
        <v>3432</v>
      </c>
      <c r="E43" s="2">
        <f>'Industry Tractor Total Sales'!G43</f>
        <v>22992.87677043027</v>
      </c>
    </row>
    <row r="44" spans="1:5" x14ac:dyDescent="0.2">
      <c r="A44" s="55">
        <f>'Mower Unit Sales'!A44</f>
        <v>41456</v>
      </c>
      <c r="B44">
        <f>'Mower Unit Sales'!G44</f>
        <v>11010</v>
      </c>
      <c r="C44" s="2">
        <f>'Industry Mower Total Sales'!F44</f>
        <v>114686.16979051076</v>
      </c>
      <c r="D44">
        <f>'Tractor Unit Sales'!G44</f>
        <v>3400</v>
      </c>
      <c r="E44" s="2">
        <f>'Industry Tractor Total Sales'!G44</f>
        <v>22482.955468819117</v>
      </c>
    </row>
    <row r="45" spans="1:5" x14ac:dyDescent="0.2">
      <c r="A45" s="55">
        <f>'Mower Unit Sales'!A45</f>
        <v>41487</v>
      </c>
      <c r="B45">
        <f>'Mower Unit Sales'!G45</f>
        <v>9830</v>
      </c>
      <c r="C45" s="2">
        <f>'Industry Mower Total Sales'!F45</f>
        <v>103729.16666666666</v>
      </c>
      <c r="D45">
        <f>'Tractor Unit Sales'!G45</f>
        <v>3261</v>
      </c>
      <c r="E45" s="2">
        <f>'Industry Tractor Total Sales'!G45</f>
        <v>21464.627186231581</v>
      </c>
    </row>
    <row r="46" spans="1:5" x14ac:dyDescent="0.2">
      <c r="A46" s="55">
        <f>'Mower Unit Sales'!A46</f>
        <v>41518</v>
      </c>
      <c r="B46">
        <f>'Mower Unit Sales'!G46</f>
        <v>8370</v>
      </c>
      <c r="C46" s="2">
        <f>'Industry Mower Total Sales'!F46</f>
        <v>87381.041046011247</v>
      </c>
      <c r="D46">
        <f>'Tractor Unit Sales'!G46</f>
        <v>3209</v>
      </c>
      <c r="E46" s="2">
        <f>'Industry Tractor Total Sales'!G46</f>
        <v>21122.712424881436</v>
      </c>
    </row>
    <row r="47" spans="1:5" x14ac:dyDescent="0.2">
      <c r="A47" s="55">
        <f>'Mower Unit Sales'!A47</f>
        <v>41548</v>
      </c>
      <c r="B47">
        <f>'Mower Unit Sales'!G47</f>
        <v>7490</v>
      </c>
      <c r="C47" s="2">
        <f>'Industry Mower Total Sales'!F47</f>
        <v>76770.899008059685</v>
      </c>
      <c r="D47">
        <f>'Tractor Unit Sales'!G47</f>
        <v>3132</v>
      </c>
      <c r="E47" s="2">
        <f>'Industry Tractor Total Sales'!G47</f>
        <v>20522.711602763822</v>
      </c>
    </row>
    <row r="48" spans="1:5" x14ac:dyDescent="0.2">
      <c r="A48" s="55">
        <f>'Mower Unit Sales'!A48</f>
        <v>41579</v>
      </c>
      <c r="B48">
        <f>'Mower Unit Sales'!G48</f>
        <v>6530</v>
      </c>
      <c r="C48" s="2">
        <f>'Industry Mower Total Sales'!F48</f>
        <v>67105.271540054149</v>
      </c>
      <c r="D48">
        <f>'Tractor Unit Sales'!G48</f>
        <v>3027</v>
      </c>
      <c r="E48" s="2">
        <f>'Industry Tractor Total Sales'!G48</f>
        <v>19789.319894246728</v>
      </c>
    </row>
    <row r="49" spans="1:5" x14ac:dyDescent="0.2">
      <c r="A49" s="55">
        <f>'Mower Unit Sales'!A49</f>
        <v>41609</v>
      </c>
      <c r="B49">
        <f>'Mower Unit Sales'!G49</f>
        <v>6300</v>
      </c>
      <c r="C49" s="2">
        <f>'Industry Mower Total Sales'!F49</f>
        <v>61796.718857466512</v>
      </c>
      <c r="D49">
        <f>'Tractor Unit Sales'!G49</f>
        <v>2777</v>
      </c>
      <c r="E49" s="2">
        <f>'Industry Tractor Total Sales'!G49</f>
        <v>18328.955332074791</v>
      </c>
    </row>
    <row r="50" spans="1:5" x14ac:dyDescent="0.2">
      <c r="A50" s="55">
        <f>'Mower Unit Sales'!A50</f>
        <v>41640</v>
      </c>
      <c r="B50">
        <f>'Mower Unit Sales'!G50</f>
        <v>7080</v>
      </c>
      <c r="C50" s="2">
        <f>'Industry Mower Total Sales'!F50</f>
        <v>69673.060124711075</v>
      </c>
      <c r="D50">
        <f>'Tractor Unit Sales'!G50</f>
        <v>2821</v>
      </c>
      <c r="E50" s="2">
        <f>'Industry Tractor Total Sales'!G50</f>
        <v>18310.727651091333</v>
      </c>
    </row>
    <row r="51" spans="1:5" x14ac:dyDescent="0.2">
      <c r="A51" s="55">
        <f>'Mower Unit Sales'!A51</f>
        <v>41671</v>
      </c>
      <c r="B51">
        <f>'Mower Unit Sales'!G51</f>
        <v>9250</v>
      </c>
      <c r="C51" s="2">
        <f>'Industry Mower Total Sales'!F51</f>
        <v>94164.601774916198</v>
      </c>
      <c r="D51">
        <f>'Tractor Unit Sales'!G51</f>
        <v>3209</v>
      </c>
      <c r="E51" s="2">
        <f>'Industry Tractor Total Sales'!G51</f>
        <v>20476.960806286919</v>
      </c>
    </row>
    <row r="52" spans="1:5" x14ac:dyDescent="0.2">
      <c r="A52" s="55">
        <f>'Mower Unit Sales'!A52</f>
        <v>41699</v>
      </c>
      <c r="B52">
        <f>'Mower Unit Sales'!G52</f>
        <v>10020</v>
      </c>
      <c r="C52" s="2">
        <f>'Industry Mower Total Sales'!F52</f>
        <v>104544.26888042316</v>
      </c>
      <c r="D52">
        <f>'Tractor Unit Sales'!G52</f>
        <v>3553</v>
      </c>
      <c r="E52" s="2">
        <f>'Industry Tractor Total Sales'!G52</f>
        <v>22489.243574510961</v>
      </c>
    </row>
    <row r="53" spans="1:5" x14ac:dyDescent="0.2">
      <c r="A53" s="55">
        <f>'Mower Unit Sales'!A53</f>
        <v>41730</v>
      </c>
      <c r="B53">
        <f>'Mower Unit Sales'!G53</f>
        <v>10995</v>
      </c>
      <c r="C53" s="2">
        <f>'Industry Mower Total Sales'!F53</f>
        <v>118249.77868763417</v>
      </c>
      <c r="D53">
        <f>'Tractor Unit Sales'!G53</f>
        <v>3820</v>
      </c>
      <c r="E53" s="2">
        <f>'Industry Tractor Total Sales'!G53</f>
        <v>23607.360004293667</v>
      </c>
    </row>
    <row r="54" spans="1:5" x14ac:dyDescent="0.2">
      <c r="A54" s="55">
        <f>'Mower Unit Sales'!A54</f>
        <v>41760</v>
      </c>
      <c r="B54">
        <f>'Mower Unit Sales'!G54</f>
        <v>11436</v>
      </c>
      <c r="C54" s="2">
        <f>'Industry Mower Total Sales'!F54</f>
        <v>118583.35803558504</v>
      </c>
      <c r="D54">
        <f>'Tractor Unit Sales'!G54</f>
        <v>4133</v>
      </c>
      <c r="E54" s="2">
        <f>'Industry Tractor Total Sales'!G54</f>
        <v>25438.745464737174</v>
      </c>
    </row>
    <row r="55" spans="1:5" x14ac:dyDescent="0.2">
      <c r="A55" s="55">
        <f>'Mower Unit Sales'!A55</f>
        <v>41791</v>
      </c>
      <c r="B55">
        <f>'Mower Unit Sales'!G55</f>
        <v>12082</v>
      </c>
      <c r="C55" s="2">
        <f>'Industry Mower Total Sales'!F55</f>
        <v>127362.62190960527</v>
      </c>
      <c r="D55">
        <f>'Tractor Unit Sales'!G55</f>
        <v>4476</v>
      </c>
      <c r="E55" s="2">
        <f>'Industry Tractor Total Sales'!G55</f>
        <v>27373.522007764652</v>
      </c>
    </row>
    <row r="56" spans="1:5" x14ac:dyDescent="0.2">
      <c r="A56" s="55">
        <f>'Mower Unit Sales'!A56</f>
        <v>41821</v>
      </c>
      <c r="B56">
        <f>'Mower Unit Sales'!G56</f>
        <v>11486</v>
      </c>
      <c r="C56" s="2">
        <f>'Industry Mower Total Sales'!F56</f>
        <v>123919.39413260287</v>
      </c>
      <c r="D56">
        <f>'Tractor Unit Sales'!G56</f>
        <v>4436</v>
      </c>
      <c r="E56" s="2">
        <f>'Industry Tractor Total Sales'!G56</f>
        <v>26763.626473761837</v>
      </c>
    </row>
    <row r="57" spans="1:5" x14ac:dyDescent="0.2">
      <c r="A57" s="55">
        <f>'Mower Unit Sales'!A57</f>
        <v>41852</v>
      </c>
      <c r="B57">
        <f>'Mower Unit Sales'!G57</f>
        <v>9504</v>
      </c>
      <c r="C57" s="2">
        <f>'Industry Mower Total Sales'!F57</f>
        <v>101960.69128134346</v>
      </c>
      <c r="D57">
        <f>'Tractor Unit Sales'!G57</f>
        <v>4256</v>
      </c>
      <c r="E57" s="2">
        <f>'Industry Tractor Total Sales'!G57</f>
        <v>25427.634959862742</v>
      </c>
    </row>
    <row r="58" spans="1:5" x14ac:dyDescent="0.2">
      <c r="A58" s="55">
        <f>'Mower Unit Sales'!A58</f>
        <v>41883</v>
      </c>
      <c r="B58">
        <f>'Mower Unit Sales'!G58</f>
        <v>8635</v>
      </c>
      <c r="C58" s="2">
        <f>'Industry Mower Total Sales'!F58</f>
        <v>95688.392242820439</v>
      </c>
      <c r="D58">
        <f>'Tractor Unit Sales'!G58</f>
        <v>4067</v>
      </c>
      <c r="E58" s="2">
        <f>'Industry Tractor Total Sales'!G58</f>
        <v>23995.246752035462</v>
      </c>
    </row>
    <row r="59" spans="1:5" x14ac:dyDescent="0.2">
      <c r="A59" s="55">
        <f>'Mower Unit Sales'!A59</f>
        <v>41913</v>
      </c>
      <c r="B59">
        <f>'Mower Unit Sales'!G59</f>
        <v>7451</v>
      </c>
      <c r="C59" s="2">
        <f>'Industry Mower Total Sales'!F59</f>
        <v>81765.976551231375</v>
      </c>
      <c r="D59">
        <f>'Tractor Unit Sales'!G59</f>
        <v>3890</v>
      </c>
      <c r="E59" s="2">
        <f>'Industry Tractor Total Sales'!G59</f>
        <v>23142.109657367724</v>
      </c>
    </row>
    <row r="60" spans="1:5" x14ac:dyDescent="0.2">
      <c r="A60" s="55">
        <f>'Mower Unit Sales'!A60</f>
        <v>41944</v>
      </c>
      <c r="B60">
        <f>'Mower Unit Sales'!G60</f>
        <v>6453</v>
      </c>
      <c r="C60" s="2">
        <f>'Industry Mower Total Sales'!F60</f>
        <v>68647.506619594002</v>
      </c>
      <c r="D60">
        <f>'Tractor Unit Sales'!G60</f>
        <v>3816</v>
      </c>
      <c r="E60" s="2">
        <f>'Industry Tractor Total Sales'!G60</f>
        <v>22666.186574371615</v>
      </c>
    </row>
    <row r="61" spans="1:5" x14ac:dyDescent="0.2">
      <c r="A61" s="55">
        <f>'Mower Unit Sales'!A61</f>
        <v>41974</v>
      </c>
      <c r="B61">
        <f>'Mower Unit Sales'!G61</f>
        <v>5651</v>
      </c>
      <c r="C61" s="2">
        <f>'Industry Mower Total Sales'!F61</f>
        <v>56509.512966296817</v>
      </c>
      <c r="D61">
        <f>'Tractor Unit Sales'!G61</f>
        <v>3717</v>
      </c>
      <c r="E61" s="2">
        <f>'Industry Tractor Total Sales'!G61</f>
        <v>21988.959106725684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6"/>
  <sheetViews>
    <sheetView workbookViewId="0">
      <pane ySplit="1" topLeftCell="A2" activePane="bottomLeft" state="frozen"/>
      <selection pane="bottomLeft" activeCell="M23" sqref="M23"/>
    </sheetView>
  </sheetViews>
  <sheetFormatPr defaultColWidth="11.42578125" defaultRowHeight="12.75" x14ac:dyDescent="0.2"/>
  <cols>
    <col min="1" max="1" width="16.42578125" style="5" customWidth="1"/>
    <col min="2" max="3" width="13" customWidth="1"/>
  </cols>
  <sheetData>
    <row r="1" spans="1:3" s="46" customFormat="1" ht="27.75" customHeight="1" thickBot="1" x14ac:dyDescent="0.25">
      <c r="A1" s="45" t="s">
        <v>30</v>
      </c>
      <c r="B1" s="45" t="s">
        <v>70</v>
      </c>
      <c r="C1" s="45" t="s">
        <v>71</v>
      </c>
    </row>
    <row r="2" spans="1:3" ht="13.5" thickTop="1" x14ac:dyDescent="0.2">
      <c r="A2" s="27">
        <v>40179</v>
      </c>
      <c r="B2" s="8">
        <v>1750</v>
      </c>
      <c r="C2" s="8">
        <v>50</v>
      </c>
    </row>
    <row r="3" spans="1:3" x14ac:dyDescent="0.2">
      <c r="A3" s="27">
        <v>40210</v>
      </c>
      <c r="B3" s="8">
        <v>1755</v>
      </c>
      <c r="C3" s="8">
        <v>50</v>
      </c>
    </row>
    <row r="4" spans="1:3" x14ac:dyDescent="0.2">
      <c r="A4" s="27">
        <v>40238</v>
      </c>
      <c r="B4" s="8">
        <v>1763</v>
      </c>
      <c r="C4" s="8">
        <v>51</v>
      </c>
    </row>
    <row r="5" spans="1:3" x14ac:dyDescent="0.2">
      <c r="A5" s="27">
        <v>40269</v>
      </c>
      <c r="B5" s="8">
        <v>1770</v>
      </c>
      <c r="C5" s="8">
        <v>51</v>
      </c>
    </row>
    <row r="6" spans="1:3" x14ac:dyDescent="0.2">
      <c r="A6" s="27">
        <v>40299</v>
      </c>
      <c r="B6" s="8">
        <v>1778</v>
      </c>
      <c r="C6" s="8">
        <v>51</v>
      </c>
    </row>
    <row r="7" spans="1:3" x14ac:dyDescent="0.2">
      <c r="A7" s="27">
        <v>40330</v>
      </c>
      <c r="B7" s="8">
        <v>1785</v>
      </c>
      <c r="C7" s="8">
        <v>51</v>
      </c>
    </row>
    <row r="8" spans="1:3" x14ac:dyDescent="0.2">
      <c r="A8" s="27">
        <v>40360</v>
      </c>
      <c r="B8" s="8">
        <v>1792</v>
      </c>
      <c r="C8" s="8">
        <v>51</v>
      </c>
    </row>
    <row r="9" spans="1:3" x14ac:dyDescent="0.2">
      <c r="A9" s="27">
        <v>40391</v>
      </c>
      <c r="B9" s="8">
        <v>1795</v>
      </c>
      <c r="C9" s="8">
        <v>51</v>
      </c>
    </row>
    <row r="10" spans="1:3" x14ac:dyDescent="0.2">
      <c r="A10" s="27">
        <v>40422</v>
      </c>
      <c r="B10" s="8">
        <v>1801</v>
      </c>
      <c r="C10" s="8">
        <v>52</v>
      </c>
    </row>
    <row r="11" spans="1:3" x14ac:dyDescent="0.2">
      <c r="A11" s="27">
        <v>40452</v>
      </c>
      <c r="B11" s="8">
        <v>1804</v>
      </c>
      <c r="C11" s="8">
        <v>52</v>
      </c>
    </row>
    <row r="12" spans="1:3" x14ac:dyDescent="0.2">
      <c r="A12" s="27">
        <v>40483</v>
      </c>
      <c r="B12" s="8">
        <v>1810</v>
      </c>
      <c r="C12" s="8">
        <v>52</v>
      </c>
    </row>
    <row r="13" spans="1:3" x14ac:dyDescent="0.2">
      <c r="A13" s="27">
        <v>40513</v>
      </c>
      <c r="B13" s="8">
        <v>1813</v>
      </c>
      <c r="C13" s="8">
        <v>52</v>
      </c>
    </row>
    <row r="14" spans="1:3" x14ac:dyDescent="0.2">
      <c r="A14" s="27">
        <v>40544</v>
      </c>
      <c r="B14" s="8">
        <v>1835</v>
      </c>
      <c r="C14" s="8">
        <v>55</v>
      </c>
    </row>
    <row r="15" spans="1:3" x14ac:dyDescent="0.2">
      <c r="A15" s="27">
        <v>40575</v>
      </c>
      <c r="B15" s="8">
        <v>1841</v>
      </c>
      <c r="C15" s="8">
        <v>55</v>
      </c>
    </row>
    <row r="16" spans="1:3" x14ac:dyDescent="0.2">
      <c r="A16" s="27">
        <v>40603</v>
      </c>
      <c r="B16" s="8">
        <v>1848</v>
      </c>
      <c r="C16" s="8">
        <v>55</v>
      </c>
    </row>
    <row r="17" spans="1:11" x14ac:dyDescent="0.2">
      <c r="A17" s="27">
        <v>40634</v>
      </c>
      <c r="B17" s="8">
        <v>1854</v>
      </c>
      <c r="C17" s="8">
        <v>55</v>
      </c>
    </row>
    <row r="18" spans="1:11" x14ac:dyDescent="0.2">
      <c r="A18" s="27">
        <v>40664</v>
      </c>
      <c r="B18" s="8">
        <v>1860</v>
      </c>
      <c r="C18" s="8">
        <v>56</v>
      </c>
    </row>
    <row r="19" spans="1:11" ht="13.5" thickBot="1" x14ac:dyDescent="0.25">
      <c r="A19" s="27">
        <v>40695</v>
      </c>
      <c r="B19" s="8">
        <v>1866</v>
      </c>
      <c r="C19" s="8">
        <v>56</v>
      </c>
    </row>
    <row r="20" spans="1:11" x14ac:dyDescent="0.2">
      <c r="A20" s="27">
        <v>40725</v>
      </c>
      <c r="B20" s="8">
        <v>1872</v>
      </c>
      <c r="C20" s="8">
        <v>56</v>
      </c>
      <c r="E20" s="15"/>
      <c r="F20" s="15" t="s">
        <v>70</v>
      </c>
      <c r="G20" s="15" t="s">
        <v>71</v>
      </c>
      <c r="I20" t="s">
        <v>42</v>
      </c>
    </row>
    <row r="21" spans="1:11" ht="13.5" thickBot="1" x14ac:dyDescent="0.25">
      <c r="A21" s="27">
        <v>40756</v>
      </c>
      <c r="B21" s="8">
        <v>1878</v>
      </c>
      <c r="C21" s="8">
        <v>56</v>
      </c>
      <c r="E21" s="13" t="s">
        <v>70</v>
      </c>
      <c r="F21" s="13">
        <v>1</v>
      </c>
      <c r="G21" s="13"/>
    </row>
    <row r="22" spans="1:11" ht="13.5" thickBot="1" x14ac:dyDescent="0.25">
      <c r="A22" s="27">
        <v>40787</v>
      </c>
      <c r="B22" s="8">
        <v>1885</v>
      </c>
      <c r="C22" s="8">
        <v>56</v>
      </c>
      <c r="E22" s="14" t="s">
        <v>71</v>
      </c>
      <c r="F22" s="14">
        <v>0.98077416593391897</v>
      </c>
      <c r="G22" s="14">
        <v>1</v>
      </c>
      <c r="I22" s="15"/>
      <c r="J22" s="15" t="s">
        <v>70</v>
      </c>
      <c r="K22" s="15" t="s">
        <v>71</v>
      </c>
    </row>
    <row r="23" spans="1:11" x14ac:dyDescent="0.2">
      <c r="A23" s="27">
        <v>40817</v>
      </c>
      <c r="B23" s="8">
        <v>1892</v>
      </c>
      <c r="C23" s="8">
        <v>57</v>
      </c>
      <c r="I23" s="13" t="s">
        <v>10</v>
      </c>
      <c r="J23" s="13">
        <v>1938.1</v>
      </c>
      <c r="K23" s="13">
        <v>58.033333333333331</v>
      </c>
    </row>
    <row r="24" spans="1:11" x14ac:dyDescent="0.2">
      <c r="A24" s="27">
        <v>40848</v>
      </c>
      <c r="B24" s="8">
        <v>1897</v>
      </c>
      <c r="C24" s="8">
        <v>57</v>
      </c>
      <c r="I24" s="13" t="s">
        <v>50</v>
      </c>
      <c r="J24" s="13">
        <v>12046.193220338979</v>
      </c>
      <c r="K24" s="13">
        <v>18.303954802259881</v>
      </c>
    </row>
    <row r="25" spans="1:11" x14ac:dyDescent="0.2">
      <c r="A25" s="27">
        <v>40878</v>
      </c>
      <c r="B25" s="8">
        <v>1903</v>
      </c>
      <c r="C25" s="8">
        <v>57</v>
      </c>
      <c r="I25" s="13" t="s">
        <v>51</v>
      </c>
      <c r="J25" s="13">
        <v>60</v>
      </c>
      <c r="K25" s="13">
        <v>60</v>
      </c>
    </row>
    <row r="26" spans="1:11" x14ac:dyDescent="0.2">
      <c r="A26" s="27">
        <v>40909</v>
      </c>
      <c r="B26" s="8">
        <v>1925</v>
      </c>
      <c r="C26" s="8">
        <v>59</v>
      </c>
      <c r="I26" s="13" t="s">
        <v>52</v>
      </c>
      <c r="J26" s="13">
        <v>0.98077416593391897</v>
      </c>
      <c r="K26" s="13"/>
    </row>
    <row r="27" spans="1:11" x14ac:dyDescent="0.2">
      <c r="A27" s="27">
        <v>40940</v>
      </c>
      <c r="B27" s="8">
        <v>1931</v>
      </c>
      <c r="C27" s="8">
        <v>59</v>
      </c>
      <c r="I27" s="13" t="s">
        <v>53</v>
      </c>
      <c r="J27" s="13">
        <v>0</v>
      </c>
      <c r="K27" s="13"/>
    </row>
    <row r="28" spans="1:11" x14ac:dyDescent="0.2">
      <c r="A28" s="27">
        <v>40969</v>
      </c>
      <c r="B28" s="8">
        <v>1938</v>
      </c>
      <c r="C28" s="8">
        <v>59</v>
      </c>
      <c r="I28" s="13" t="s">
        <v>54</v>
      </c>
      <c r="J28" s="13">
        <v>59</v>
      </c>
      <c r="K28" s="13"/>
    </row>
    <row r="29" spans="1:11" x14ac:dyDescent="0.2">
      <c r="A29" s="27">
        <v>41000</v>
      </c>
      <c r="B29" s="8">
        <v>1944</v>
      </c>
      <c r="C29" s="8">
        <v>59</v>
      </c>
      <c r="I29" s="13" t="s">
        <v>55</v>
      </c>
      <c r="J29" s="13">
        <v>137.95569718299566</v>
      </c>
      <c r="K29" s="13"/>
    </row>
    <row r="30" spans="1:11" x14ac:dyDescent="0.2">
      <c r="A30" s="27">
        <v>41030</v>
      </c>
      <c r="B30" s="8">
        <v>1950</v>
      </c>
      <c r="C30" s="8">
        <v>59</v>
      </c>
      <c r="I30" s="13" t="s">
        <v>56</v>
      </c>
      <c r="J30" s="13">
        <v>4.6787920316604391E-76</v>
      </c>
      <c r="K30" s="13"/>
    </row>
    <row r="31" spans="1:11" x14ac:dyDescent="0.2">
      <c r="A31" s="27">
        <v>41061</v>
      </c>
      <c r="B31" s="8">
        <v>1956</v>
      </c>
      <c r="C31" s="8">
        <v>60</v>
      </c>
      <c r="I31" s="13" t="s">
        <v>57</v>
      </c>
      <c r="J31" s="13">
        <v>1.6710930321038957</v>
      </c>
      <c r="K31" s="13"/>
    </row>
    <row r="32" spans="1:11" x14ac:dyDescent="0.2">
      <c r="A32" s="27">
        <v>41091</v>
      </c>
      <c r="B32" s="8">
        <v>1963</v>
      </c>
      <c r="C32" s="8">
        <v>60</v>
      </c>
      <c r="I32" s="13" t="s">
        <v>59</v>
      </c>
      <c r="J32" s="13">
        <v>9.3575840633208782E-76</v>
      </c>
      <c r="K32" s="13"/>
    </row>
    <row r="33" spans="1:11" ht="13.5" thickBot="1" x14ac:dyDescent="0.25">
      <c r="A33" s="27">
        <v>41122</v>
      </c>
      <c r="B33" s="8">
        <v>1969</v>
      </c>
      <c r="C33" s="8">
        <v>60</v>
      </c>
      <c r="I33" s="14" t="s">
        <v>66</v>
      </c>
      <c r="J33" s="14">
        <v>2.0009953780882688</v>
      </c>
      <c r="K33" s="14"/>
    </row>
    <row r="34" spans="1:11" x14ac:dyDescent="0.2">
      <c r="A34" s="27">
        <v>41153</v>
      </c>
      <c r="B34" s="8">
        <v>1976</v>
      </c>
      <c r="C34" s="8">
        <v>60</v>
      </c>
    </row>
    <row r="35" spans="1:11" x14ac:dyDescent="0.2">
      <c r="A35" s="27">
        <v>41183</v>
      </c>
      <c r="B35" s="8">
        <v>1983</v>
      </c>
      <c r="C35" s="8">
        <v>60</v>
      </c>
    </row>
    <row r="36" spans="1:11" x14ac:dyDescent="0.2">
      <c r="A36" s="27">
        <v>41214</v>
      </c>
      <c r="B36" s="8">
        <v>1990</v>
      </c>
      <c r="C36" s="8">
        <v>61</v>
      </c>
    </row>
    <row r="37" spans="1:11" x14ac:dyDescent="0.2">
      <c r="A37" s="27">
        <v>41244</v>
      </c>
      <c r="B37" s="8">
        <v>1996</v>
      </c>
      <c r="C37" s="8">
        <v>61</v>
      </c>
    </row>
    <row r="38" spans="1:11" x14ac:dyDescent="0.2">
      <c r="A38" s="27">
        <v>41275</v>
      </c>
      <c r="B38" s="8">
        <v>1940</v>
      </c>
      <c r="C38" s="8">
        <v>59</v>
      </c>
    </row>
    <row r="39" spans="1:11" x14ac:dyDescent="0.2">
      <c r="A39" s="27">
        <v>41306</v>
      </c>
      <c r="B39" s="8">
        <v>1946</v>
      </c>
      <c r="C39" s="8">
        <v>59</v>
      </c>
    </row>
    <row r="40" spans="1:11" x14ac:dyDescent="0.2">
      <c r="A40" s="27">
        <v>41334</v>
      </c>
      <c r="B40" s="8">
        <v>1952</v>
      </c>
      <c r="C40" s="8">
        <v>59</v>
      </c>
    </row>
    <row r="41" spans="1:11" x14ac:dyDescent="0.2">
      <c r="A41" s="27">
        <v>41365</v>
      </c>
      <c r="B41" s="8">
        <v>1958</v>
      </c>
      <c r="C41" s="8">
        <v>59</v>
      </c>
    </row>
    <row r="42" spans="1:11" x14ac:dyDescent="0.2">
      <c r="A42" s="27">
        <v>41395</v>
      </c>
      <c r="B42" s="8">
        <v>1964</v>
      </c>
      <c r="C42" s="8">
        <v>60</v>
      </c>
    </row>
    <row r="43" spans="1:11" x14ac:dyDescent="0.2">
      <c r="A43" s="27">
        <v>41426</v>
      </c>
      <c r="B43" s="8">
        <v>1970</v>
      </c>
      <c r="C43" s="8">
        <v>60</v>
      </c>
    </row>
    <row r="44" spans="1:11" x14ac:dyDescent="0.2">
      <c r="A44" s="27">
        <v>41456</v>
      </c>
      <c r="B44" s="8">
        <v>1976</v>
      </c>
      <c r="C44" s="8">
        <v>60</v>
      </c>
    </row>
    <row r="45" spans="1:11" x14ac:dyDescent="0.2">
      <c r="A45" s="27">
        <v>41487</v>
      </c>
      <c r="B45" s="8">
        <v>1983</v>
      </c>
      <c r="C45" s="8">
        <v>60</v>
      </c>
    </row>
    <row r="46" spans="1:11" x14ac:dyDescent="0.2">
      <c r="A46" s="27">
        <v>41518</v>
      </c>
      <c r="B46" s="8">
        <v>1990</v>
      </c>
      <c r="C46" s="8">
        <v>60</v>
      </c>
    </row>
    <row r="47" spans="1:11" x14ac:dyDescent="0.2">
      <c r="A47" s="27">
        <v>41548</v>
      </c>
      <c r="B47" s="8">
        <v>1996</v>
      </c>
      <c r="C47" s="8">
        <v>60</v>
      </c>
    </row>
    <row r="48" spans="1:11" x14ac:dyDescent="0.2">
      <c r="A48" s="27">
        <v>41579</v>
      </c>
      <c r="B48" s="8">
        <v>2012</v>
      </c>
      <c r="C48" s="8">
        <v>61</v>
      </c>
    </row>
    <row r="49" spans="1:5" x14ac:dyDescent="0.2">
      <c r="A49" s="27">
        <v>41609</v>
      </c>
      <c r="B49" s="8">
        <v>2008</v>
      </c>
      <c r="C49" s="8">
        <v>61</v>
      </c>
    </row>
    <row r="50" spans="1:5" x14ac:dyDescent="0.2">
      <c r="A50" s="27">
        <v>41640</v>
      </c>
      <c r="B50" s="8">
        <v>2073</v>
      </c>
      <c r="C50" s="8">
        <v>63</v>
      </c>
    </row>
    <row r="51" spans="1:5" x14ac:dyDescent="0.2">
      <c r="A51" s="27">
        <v>41671</v>
      </c>
      <c r="B51" s="8">
        <v>2077</v>
      </c>
      <c r="C51" s="8">
        <v>63</v>
      </c>
      <c r="E51" s="1"/>
    </row>
    <row r="52" spans="1:5" x14ac:dyDescent="0.2">
      <c r="A52" s="27">
        <v>41699</v>
      </c>
      <c r="B52" s="8">
        <v>2081</v>
      </c>
      <c r="C52" s="8">
        <v>63</v>
      </c>
      <c r="E52" s="1"/>
    </row>
    <row r="53" spans="1:5" x14ac:dyDescent="0.2">
      <c r="A53" s="27">
        <v>41730</v>
      </c>
      <c r="B53" s="8">
        <v>2086</v>
      </c>
      <c r="C53" s="8">
        <v>63</v>
      </c>
      <c r="E53" s="1"/>
    </row>
    <row r="54" spans="1:5" x14ac:dyDescent="0.2">
      <c r="A54" s="27">
        <v>41760</v>
      </c>
      <c r="B54" s="8">
        <v>2092</v>
      </c>
      <c r="C54" s="8">
        <v>63</v>
      </c>
      <c r="E54" s="1"/>
    </row>
    <row r="55" spans="1:5" x14ac:dyDescent="0.2">
      <c r="A55" s="27">
        <v>41791</v>
      </c>
      <c r="B55" s="8">
        <v>2098</v>
      </c>
      <c r="C55" s="8">
        <v>63</v>
      </c>
      <c r="E55" s="1"/>
    </row>
    <row r="56" spans="1:5" x14ac:dyDescent="0.2">
      <c r="A56" s="27">
        <v>41821</v>
      </c>
      <c r="B56" s="8">
        <v>2104</v>
      </c>
      <c r="C56" s="8">
        <v>64</v>
      </c>
      <c r="E56" s="1"/>
    </row>
    <row r="57" spans="1:5" x14ac:dyDescent="0.2">
      <c r="A57" s="27">
        <v>41852</v>
      </c>
      <c r="B57" s="8">
        <v>2110</v>
      </c>
      <c r="C57" s="8">
        <v>64</v>
      </c>
      <c r="E57" s="1"/>
    </row>
    <row r="58" spans="1:5" x14ac:dyDescent="0.2">
      <c r="A58" s="27">
        <v>41883</v>
      </c>
      <c r="B58" s="8">
        <v>2116</v>
      </c>
      <c r="C58" s="8">
        <v>64</v>
      </c>
      <c r="E58" s="1"/>
    </row>
    <row r="59" spans="1:5" x14ac:dyDescent="0.2">
      <c r="A59" s="27">
        <v>41913</v>
      </c>
      <c r="B59" s="8">
        <v>2122</v>
      </c>
      <c r="C59" s="8">
        <v>64</v>
      </c>
      <c r="E59" s="1"/>
    </row>
    <row r="60" spans="1:5" x14ac:dyDescent="0.2">
      <c r="A60" s="27">
        <v>41944</v>
      </c>
      <c r="B60" s="8">
        <v>2129</v>
      </c>
      <c r="C60" s="8">
        <v>64</v>
      </c>
      <c r="E60" s="1"/>
    </row>
    <row r="61" spans="1:5" x14ac:dyDescent="0.2">
      <c r="A61" s="27">
        <v>41974</v>
      </c>
      <c r="B61" s="8">
        <v>2135</v>
      </c>
      <c r="C61" s="8">
        <v>64</v>
      </c>
      <c r="E61" s="1"/>
    </row>
    <row r="62" spans="1:5" x14ac:dyDescent="0.2">
      <c r="E62" s="1"/>
    </row>
    <row r="63" spans="1:5" x14ac:dyDescent="0.2">
      <c r="A63" s="5" t="s">
        <v>10</v>
      </c>
      <c r="B63" s="3">
        <f>AVERAGE(ProductionCost[Tractor])</f>
        <v>1938.1</v>
      </c>
      <c r="C63" s="3">
        <f>AVERAGE(ProductionCost[Mower])</f>
        <v>58.033333333333331</v>
      </c>
    </row>
    <row r="64" spans="1:5" x14ac:dyDescent="0.2">
      <c r="A64" s="5" t="s">
        <v>27</v>
      </c>
      <c r="B64" s="3">
        <f>MEDIAN(ProductionCost[Tractor])</f>
        <v>1948</v>
      </c>
      <c r="C64" s="3">
        <f>MEDIAN(ProductionCost[Mower])</f>
        <v>59</v>
      </c>
    </row>
    <row r="65" spans="1:3" x14ac:dyDescent="0.2">
      <c r="A65" s="5" t="s">
        <v>28</v>
      </c>
      <c r="B65" s="3">
        <f>_xlfn.MODE.SNGL(ProductionCost[Tractor])</f>
        <v>1976</v>
      </c>
      <c r="C65" s="3">
        <f>_xlfn.MODE.SNGL(ProductionCost[Mower])</f>
        <v>60</v>
      </c>
    </row>
    <row r="66" spans="1:3" x14ac:dyDescent="0.2">
      <c r="A66" s="5" t="s">
        <v>39</v>
      </c>
      <c r="B66" s="3">
        <f>_xlfn.STDEV.P(ProductionCost[Tractor])</f>
        <v>108.83668192908736</v>
      </c>
      <c r="C66" s="3">
        <f>_xlfn.STDEV.P(ProductionCost[Mower])</f>
        <v>4.2425097393982352</v>
      </c>
    </row>
  </sheetData>
  <pageMargins left="0.75" right="0.75" top="1" bottom="1" header="0.5" footer="0.5"/>
  <pageSetup orientation="portrait" horizontalDpi="4294967292" verticalDpi="4294967292"/>
  <headerFooter alignWithMargins="0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7"/>
  <sheetViews>
    <sheetView zoomScaleNormal="100" workbookViewId="0">
      <selection activeCell="C208" sqref="C208"/>
    </sheetView>
  </sheetViews>
  <sheetFormatPr defaultColWidth="8.85546875" defaultRowHeight="15" x14ac:dyDescent="0.2"/>
  <cols>
    <col min="1" max="1" width="14.85546875" style="17" customWidth="1"/>
    <col min="2" max="2" width="12.42578125" style="17" customWidth="1"/>
    <col min="3" max="3" width="18.42578125" style="17" customWidth="1"/>
    <col min="4" max="4" width="9.42578125" style="17" customWidth="1"/>
    <col min="5" max="5" width="13.140625" style="17" customWidth="1"/>
    <col min="6" max="6" width="8.85546875" style="17"/>
  </cols>
  <sheetData>
    <row r="1" spans="1:6" s="4" customFormat="1" ht="16.5" thickBot="1" x14ac:dyDescent="0.3">
      <c r="A1" s="16" t="s">
        <v>18</v>
      </c>
      <c r="B1" s="16" t="s">
        <v>19</v>
      </c>
      <c r="C1" s="16" t="s">
        <v>20</v>
      </c>
      <c r="D1" s="16" t="s">
        <v>21</v>
      </c>
      <c r="E1" s="16" t="s">
        <v>22</v>
      </c>
      <c r="F1" s="18"/>
    </row>
    <row r="2" spans="1:6" ht="15.75" hidden="1" thickTop="1" x14ac:dyDescent="0.2">
      <c r="A2" s="17" t="s">
        <v>23</v>
      </c>
      <c r="B2" s="17">
        <v>4</v>
      </c>
      <c r="C2" s="17">
        <v>1</v>
      </c>
      <c r="D2" s="17">
        <v>3</v>
      </c>
      <c r="E2" s="17">
        <v>4</v>
      </c>
    </row>
    <row r="3" spans="1:6" ht="15.75" hidden="1" thickTop="1" x14ac:dyDescent="0.2">
      <c r="A3" s="17" t="s">
        <v>23</v>
      </c>
      <c r="B3" s="17">
        <v>4</v>
      </c>
      <c r="C3" s="17">
        <v>4</v>
      </c>
      <c r="D3" s="17">
        <v>4</v>
      </c>
      <c r="E3" s="17">
        <v>5</v>
      </c>
    </row>
    <row r="4" spans="1:6" ht="15.75" hidden="1" thickTop="1" x14ac:dyDescent="0.2">
      <c r="A4" s="17" t="s">
        <v>23</v>
      </c>
      <c r="B4" s="17">
        <v>4</v>
      </c>
      <c r="C4" s="17">
        <v>5</v>
      </c>
      <c r="D4" s="17">
        <v>4</v>
      </c>
      <c r="E4" s="17">
        <v>3</v>
      </c>
    </row>
    <row r="5" spans="1:6" ht="15.75" hidden="1" thickTop="1" x14ac:dyDescent="0.2">
      <c r="A5" s="17" t="s">
        <v>23</v>
      </c>
      <c r="B5" s="17">
        <v>5</v>
      </c>
      <c r="C5" s="17">
        <v>4</v>
      </c>
      <c r="D5" s="17">
        <v>4</v>
      </c>
      <c r="E5" s="17">
        <v>4</v>
      </c>
    </row>
    <row r="6" spans="1:6" ht="15.75" hidden="1" thickTop="1" x14ac:dyDescent="0.2">
      <c r="A6" s="17" t="s">
        <v>23</v>
      </c>
      <c r="B6" s="17">
        <v>5</v>
      </c>
      <c r="C6" s="17">
        <v>4</v>
      </c>
      <c r="D6" s="17">
        <v>5</v>
      </c>
      <c r="E6" s="17">
        <v>4</v>
      </c>
    </row>
    <row r="7" spans="1:6" ht="15.75" hidden="1" thickTop="1" x14ac:dyDescent="0.2">
      <c r="A7" s="17" t="s">
        <v>23</v>
      </c>
      <c r="B7" s="17">
        <v>5</v>
      </c>
      <c r="C7" s="17">
        <v>5</v>
      </c>
      <c r="D7" s="17">
        <v>3</v>
      </c>
      <c r="E7" s="17">
        <v>5</v>
      </c>
    </row>
    <row r="8" spans="1:6" ht="15.75" hidden="1" thickTop="1" x14ac:dyDescent="0.2">
      <c r="A8" s="17" t="s">
        <v>23</v>
      </c>
      <c r="B8" s="17">
        <v>5</v>
      </c>
      <c r="C8" s="17">
        <v>4</v>
      </c>
      <c r="D8" s="17">
        <v>4</v>
      </c>
      <c r="E8" s="17">
        <v>2</v>
      </c>
    </row>
    <row r="9" spans="1:6" ht="15.75" hidden="1" thickTop="1" x14ac:dyDescent="0.2">
      <c r="A9" s="17" t="s">
        <v>23</v>
      </c>
      <c r="B9" s="17">
        <v>5</v>
      </c>
      <c r="C9" s="17">
        <v>5</v>
      </c>
      <c r="D9" s="17">
        <v>4</v>
      </c>
      <c r="E9" s="17">
        <v>5</v>
      </c>
    </row>
    <row r="10" spans="1:6" ht="15.75" hidden="1" thickTop="1" x14ac:dyDescent="0.2">
      <c r="A10" s="17" t="s">
        <v>23</v>
      </c>
      <c r="B10" s="17">
        <v>4</v>
      </c>
      <c r="C10" s="17">
        <v>4</v>
      </c>
      <c r="D10" s="17">
        <v>4</v>
      </c>
      <c r="E10" s="17">
        <v>5</v>
      </c>
    </row>
    <row r="11" spans="1:6" ht="15.75" hidden="1" thickTop="1" x14ac:dyDescent="0.2">
      <c r="A11" s="17" t="s">
        <v>23</v>
      </c>
      <c r="B11" s="17">
        <v>4</v>
      </c>
      <c r="C11" s="17">
        <v>5</v>
      </c>
      <c r="D11" s="17">
        <v>4</v>
      </c>
      <c r="E11" s="17">
        <v>5</v>
      </c>
    </row>
    <row r="12" spans="1:6" ht="15.75" hidden="1" thickTop="1" x14ac:dyDescent="0.2">
      <c r="A12" s="17" t="s">
        <v>23</v>
      </c>
      <c r="B12" s="17">
        <v>4</v>
      </c>
      <c r="C12" s="17">
        <v>5</v>
      </c>
      <c r="D12" s="17">
        <v>1</v>
      </c>
      <c r="E12" s="17">
        <v>4</v>
      </c>
    </row>
    <row r="13" spans="1:6" ht="15.75" hidden="1" thickTop="1" x14ac:dyDescent="0.2">
      <c r="A13" s="17" t="s">
        <v>23</v>
      </c>
      <c r="B13" s="17">
        <v>5</v>
      </c>
      <c r="C13" s="17">
        <v>5</v>
      </c>
      <c r="D13" s="17">
        <v>4</v>
      </c>
      <c r="E13" s="17">
        <v>4</v>
      </c>
    </row>
    <row r="14" spans="1:6" ht="15.75" hidden="1" thickTop="1" x14ac:dyDescent="0.2">
      <c r="A14" s="17" t="s">
        <v>23</v>
      </c>
      <c r="B14" s="17">
        <v>5</v>
      </c>
      <c r="C14" s="17">
        <v>4</v>
      </c>
      <c r="D14" s="17">
        <v>3</v>
      </c>
      <c r="E14" s="17">
        <v>3</v>
      </c>
    </row>
    <row r="15" spans="1:6" ht="15.75" hidden="1" thickTop="1" x14ac:dyDescent="0.2">
      <c r="A15" s="17" t="s">
        <v>23</v>
      </c>
      <c r="B15" s="17">
        <v>4</v>
      </c>
      <c r="C15" s="17">
        <v>5</v>
      </c>
      <c r="D15" s="17">
        <v>4</v>
      </c>
      <c r="E15" s="17">
        <v>4</v>
      </c>
    </row>
    <row r="16" spans="1:6" ht="15.75" hidden="1" thickTop="1" x14ac:dyDescent="0.2">
      <c r="A16" s="17" t="s">
        <v>23</v>
      </c>
      <c r="B16" s="17">
        <v>5</v>
      </c>
      <c r="C16" s="17">
        <v>4</v>
      </c>
      <c r="D16" s="17">
        <v>3</v>
      </c>
      <c r="E16" s="17">
        <v>5</v>
      </c>
    </row>
    <row r="17" spans="1:5" ht="15.75" hidden="1" thickTop="1" x14ac:dyDescent="0.2">
      <c r="A17" s="17" t="s">
        <v>23</v>
      </c>
      <c r="B17" s="17">
        <v>5</v>
      </c>
      <c r="C17" s="17">
        <v>5</v>
      </c>
      <c r="D17" s="17">
        <v>2</v>
      </c>
      <c r="E17" s="17">
        <v>5</v>
      </c>
    </row>
    <row r="18" spans="1:5" ht="15.75" hidden="1" thickTop="1" x14ac:dyDescent="0.2">
      <c r="A18" s="17" t="s">
        <v>23</v>
      </c>
      <c r="B18" s="17">
        <v>5</v>
      </c>
      <c r="C18" s="17">
        <v>4</v>
      </c>
      <c r="D18" s="17">
        <v>2</v>
      </c>
      <c r="E18" s="17">
        <v>5</v>
      </c>
    </row>
    <row r="19" spans="1:5" ht="15.75" hidden="1" thickTop="1" x14ac:dyDescent="0.2">
      <c r="A19" s="17" t="s">
        <v>23</v>
      </c>
      <c r="B19" s="17">
        <v>5</v>
      </c>
      <c r="C19" s="17">
        <v>4</v>
      </c>
      <c r="D19" s="17">
        <v>2</v>
      </c>
      <c r="E19" s="17">
        <v>5</v>
      </c>
    </row>
    <row r="20" spans="1:5" ht="15.75" hidden="1" thickTop="1" x14ac:dyDescent="0.2">
      <c r="A20" s="17" t="s">
        <v>23</v>
      </c>
      <c r="B20" s="17">
        <v>4</v>
      </c>
      <c r="C20" s="17">
        <v>5</v>
      </c>
      <c r="D20" s="17">
        <v>4</v>
      </c>
      <c r="E20" s="17">
        <v>4</v>
      </c>
    </row>
    <row r="21" spans="1:5" ht="15.75" hidden="1" thickTop="1" x14ac:dyDescent="0.2">
      <c r="A21" s="17" t="s">
        <v>23</v>
      </c>
      <c r="B21" s="17">
        <v>4</v>
      </c>
      <c r="C21" s="17">
        <v>4</v>
      </c>
      <c r="D21" s="17">
        <v>5</v>
      </c>
      <c r="E21" s="17">
        <v>4</v>
      </c>
    </row>
    <row r="22" spans="1:5" ht="15.75" hidden="1" thickTop="1" x14ac:dyDescent="0.2">
      <c r="A22" s="17" t="s">
        <v>23</v>
      </c>
      <c r="B22" s="17">
        <v>4</v>
      </c>
      <c r="C22" s="17">
        <v>4</v>
      </c>
      <c r="D22" s="17">
        <v>2</v>
      </c>
      <c r="E22" s="17">
        <v>4</v>
      </c>
    </row>
    <row r="23" spans="1:5" ht="15.75" hidden="1" thickTop="1" x14ac:dyDescent="0.2">
      <c r="A23" s="17" t="s">
        <v>23</v>
      </c>
      <c r="B23" s="17">
        <v>4</v>
      </c>
      <c r="C23" s="17">
        <v>3</v>
      </c>
      <c r="D23" s="17">
        <v>3</v>
      </c>
      <c r="E23" s="17">
        <v>4</v>
      </c>
    </row>
    <row r="24" spans="1:5" ht="15.75" hidden="1" thickTop="1" x14ac:dyDescent="0.2">
      <c r="A24" s="17" t="s">
        <v>23</v>
      </c>
      <c r="B24" s="17">
        <v>5</v>
      </c>
      <c r="C24" s="17">
        <v>5</v>
      </c>
      <c r="D24" s="17">
        <v>2</v>
      </c>
      <c r="E24" s="17">
        <v>5</v>
      </c>
    </row>
    <row r="25" spans="1:5" ht="15.75" hidden="1" thickTop="1" x14ac:dyDescent="0.2">
      <c r="A25" s="17" t="s">
        <v>23</v>
      </c>
      <c r="B25" s="17">
        <v>5</v>
      </c>
      <c r="C25" s="17">
        <v>3</v>
      </c>
      <c r="D25" s="17">
        <v>4</v>
      </c>
      <c r="E25" s="17">
        <v>3</v>
      </c>
    </row>
    <row r="26" spans="1:5" ht="15.75" hidden="1" thickTop="1" x14ac:dyDescent="0.2">
      <c r="A26" s="17" t="s">
        <v>23</v>
      </c>
      <c r="B26" s="17">
        <v>5</v>
      </c>
      <c r="C26" s="17">
        <v>4</v>
      </c>
      <c r="D26" s="17">
        <v>4</v>
      </c>
      <c r="E26" s="17">
        <v>5</v>
      </c>
    </row>
    <row r="27" spans="1:5" ht="15.75" hidden="1" thickTop="1" x14ac:dyDescent="0.2">
      <c r="A27" s="17" t="s">
        <v>23</v>
      </c>
      <c r="B27" s="17">
        <v>5</v>
      </c>
      <c r="C27" s="17">
        <v>5</v>
      </c>
      <c r="D27" s="17">
        <v>2</v>
      </c>
      <c r="E27" s="17">
        <v>5</v>
      </c>
    </row>
    <row r="28" spans="1:5" ht="15.75" hidden="1" thickTop="1" x14ac:dyDescent="0.2">
      <c r="A28" s="17" t="s">
        <v>23</v>
      </c>
      <c r="B28" s="17">
        <v>5</v>
      </c>
      <c r="C28" s="17">
        <v>5</v>
      </c>
      <c r="D28" s="17">
        <v>5</v>
      </c>
      <c r="E28" s="17">
        <v>3</v>
      </c>
    </row>
    <row r="29" spans="1:5" ht="15.75" hidden="1" thickTop="1" x14ac:dyDescent="0.2">
      <c r="A29" s="17" t="s">
        <v>23</v>
      </c>
      <c r="B29" s="17">
        <v>4</v>
      </c>
      <c r="C29" s="17">
        <v>4</v>
      </c>
      <c r="D29" s="17">
        <v>5</v>
      </c>
      <c r="E29" s="17">
        <v>4</v>
      </c>
    </row>
    <row r="30" spans="1:5" ht="15.75" hidden="1" thickTop="1" x14ac:dyDescent="0.2">
      <c r="A30" s="17" t="s">
        <v>23</v>
      </c>
      <c r="B30" s="17">
        <v>5</v>
      </c>
      <c r="C30" s="17">
        <v>4</v>
      </c>
      <c r="D30" s="17">
        <v>4</v>
      </c>
      <c r="E30" s="17">
        <v>4</v>
      </c>
    </row>
    <row r="31" spans="1:5" ht="15.75" hidden="1" thickTop="1" x14ac:dyDescent="0.2">
      <c r="A31" s="17" t="s">
        <v>23</v>
      </c>
      <c r="B31" s="17">
        <v>5</v>
      </c>
      <c r="C31" s="17">
        <v>1</v>
      </c>
      <c r="D31" s="17">
        <v>5</v>
      </c>
      <c r="E31" s="17">
        <v>5</v>
      </c>
    </row>
    <row r="32" spans="1:5" ht="15.75" hidden="1" thickTop="1" x14ac:dyDescent="0.2">
      <c r="A32" s="17" t="s">
        <v>23</v>
      </c>
      <c r="B32" s="17">
        <v>5</v>
      </c>
      <c r="C32" s="17">
        <v>4</v>
      </c>
      <c r="D32" s="17">
        <v>3</v>
      </c>
      <c r="E32" s="17">
        <v>5</v>
      </c>
    </row>
    <row r="33" spans="1:5" ht="15.75" hidden="1" thickTop="1" x14ac:dyDescent="0.2">
      <c r="A33" s="17" t="s">
        <v>23</v>
      </c>
      <c r="B33" s="17">
        <v>4</v>
      </c>
      <c r="C33" s="17">
        <v>5</v>
      </c>
      <c r="D33" s="17">
        <v>1</v>
      </c>
      <c r="E33" s="17">
        <v>4</v>
      </c>
    </row>
    <row r="34" spans="1:5" ht="15.75" hidden="1" thickTop="1" x14ac:dyDescent="0.2">
      <c r="A34" s="17" t="s">
        <v>23</v>
      </c>
      <c r="B34" s="17">
        <v>4</v>
      </c>
      <c r="C34" s="17">
        <v>4</v>
      </c>
      <c r="D34" s="17">
        <v>3</v>
      </c>
      <c r="E34" s="17">
        <v>5</v>
      </c>
    </row>
    <row r="35" spans="1:5" ht="15.75" hidden="1" thickTop="1" x14ac:dyDescent="0.2">
      <c r="A35" s="17" t="s">
        <v>23</v>
      </c>
      <c r="B35" s="17">
        <v>5</v>
      </c>
      <c r="C35" s="17">
        <v>3</v>
      </c>
      <c r="D35" s="17">
        <v>4</v>
      </c>
      <c r="E35" s="17">
        <v>4</v>
      </c>
    </row>
    <row r="36" spans="1:5" ht="15.75" hidden="1" thickTop="1" x14ac:dyDescent="0.2">
      <c r="A36" s="17" t="s">
        <v>23</v>
      </c>
      <c r="B36" s="17">
        <v>5</v>
      </c>
      <c r="C36" s="17">
        <v>5</v>
      </c>
      <c r="D36" s="17">
        <v>2</v>
      </c>
      <c r="E36" s="17">
        <v>4</v>
      </c>
    </row>
    <row r="37" spans="1:5" ht="15.75" hidden="1" thickTop="1" x14ac:dyDescent="0.2">
      <c r="A37" s="17" t="s">
        <v>23</v>
      </c>
      <c r="B37" s="17">
        <v>5</v>
      </c>
      <c r="C37" s="17">
        <v>4</v>
      </c>
      <c r="D37" s="17">
        <v>4</v>
      </c>
      <c r="E37" s="17">
        <v>4</v>
      </c>
    </row>
    <row r="38" spans="1:5" ht="15.75" hidden="1" thickTop="1" x14ac:dyDescent="0.2">
      <c r="A38" s="17" t="s">
        <v>23</v>
      </c>
      <c r="B38" s="17">
        <v>5</v>
      </c>
      <c r="C38" s="17">
        <v>5</v>
      </c>
      <c r="D38" s="17">
        <v>4</v>
      </c>
      <c r="E38" s="17">
        <v>4</v>
      </c>
    </row>
    <row r="39" spans="1:5" ht="15.75" hidden="1" thickTop="1" x14ac:dyDescent="0.2">
      <c r="A39" s="17" t="s">
        <v>23</v>
      </c>
      <c r="B39" s="17">
        <v>5</v>
      </c>
      <c r="C39" s="17">
        <v>5</v>
      </c>
      <c r="D39" s="17">
        <v>4</v>
      </c>
      <c r="E39" s="17">
        <v>5</v>
      </c>
    </row>
    <row r="40" spans="1:5" ht="15.75" hidden="1" thickTop="1" x14ac:dyDescent="0.2">
      <c r="A40" s="17" t="s">
        <v>23</v>
      </c>
      <c r="B40" s="17">
        <v>4</v>
      </c>
      <c r="C40" s="17">
        <v>3</v>
      </c>
      <c r="D40" s="17">
        <v>3</v>
      </c>
      <c r="E40" s="17">
        <v>5</v>
      </c>
    </row>
    <row r="41" spans="1:5" ht="15.75" hidden="1" thickTop="1" x14ac:dyDescent="0.2">
      <c r="A41" s="17" t="s">
        <v>23</v>
      </c>
      <c r="B41" s="17">
        <v>5</v>
      </c>
      <c r="C41" s="17">
        <v>4</v>
      </c>
      <c r="D41" s="17">
        <v>4</v>
      </c>
      <c r="E41" s="17">
        <v>3</v>
      </c>
    </row>
    <row r="42" spans="1:5" ht="15.75" hidden="1" thickTop="1" x14ac:dyDescent="0.2">
      <c r="A42" s="17" t="s">
        <v>23</v>
      </c>
      <c r="B42" s="17">
        <v>5</v>
      </c>
      <c r="C42" s="17">
        <v>4</v>
      </c>
      <c r="D42" s="17">
        <v>3</v>
      </c>
      <c r="E42" s="17">
        <v>4</v>
      </c>
    </row>
    <row r="43" spans="1:5" ht="15.75" hidden="1" thickTop="1" x14ac:dyDescent="0.2">
      <c r="A43" s="17" t="s">
        <v>23</v>
      </c>
      <c r="B43" s="17">
        <v>5</v>
      </c>
      <c r="C43" s="17">
        <v>5</v>
      </c>
      <c r="D43" s="17">
        <v>1</v>
      </c>
      <c r="E43" s="17">
        <v>5</v>
      </c>
    </row>
    <row r="44" spans="1:5" ht="15.75" hidden="1" thickTop="1" x14ac:dyDescent="0.2">
      <c r="A44" s="17" t="s">
        <v>23</v>
      </c>
      <c r="B44" s="17">
        <v>5</v>
      </c>
      <c r="C44" s="17">
        <v>4</v>
      </c>
      <c r="D44" s="17">
        <v>5</v>
      </c>
      <c r="E44" s="17">
        <v>4</v>
      </c>
    </row>
    <row r="45" spans="1:5" ht="15.75" hidden="1" thickTop="1" x14ac:dyDescent="0.2">
      <c r="A45" s="17" t="s">
        <v>23</v>
      </c>
      <c r="B45" s="17">
        <v>3</v>
      </c>
      <c r="C45" s="17">
        <v>4</v>
      </c>
      <c r="D45" s="17">
        <v>3</v>
      </c>
      <c r="E45" s="17">
        <v>4</v>
      </c>
    </row>
    <row r="46" spans="1:5" ht="15.75" hidden="1" thickTop="1" x14ac:dyDescent="0.2">
      <c r="A46" s="17" t="s">
        <v>23</v>
      </c>
      <c r="B46" s="17">
        <v>5</v>
      </c>
      <c r="C46" s="17">
        <v>4</v>
      </c>
      <c r="D46" s="17">
        <v>2</v>
      </c>
      <c r="E46" s="17">
        <v>4</v>
      </c>
    </row>
    <row r="47" spans="1:5" ht="15.75" hidden="1" thickTop="1" x14ac:dyDescent="0.2">
      <c r="A47" s="17" t="s">
        <v>23</v>
      </c>
      <c r="B47" s="17">
        <v>5</v>
      </c>
      <c r="C47" s="17">
        <v>5</v>
      </c>
      <c r="D47" s="17">
        <v>4</v>
      </c>
      <c r="E47" s="17">
        <v>5</v>
      </c>
    </row>
    <row r="48" spans="1:5" ht="15.75" hidden="1" thickTop="1" x14ac:dyDescent="0.2">
      <c r="A48" s="17" t="s">
        <v>23</v>
      </c>
      <c r="B48" s="17">
        <v>5</v>
      </c>
      <c r="C48" s="17">
        <v>5</v>
      </c>
      <c r="D48" s="17">
        <v>3</v>
      </c>
      <c r="E48" s="17">
        <v>4</v>
      </c>
    </row>
    <row r="49" spans="1:5" ht="15.75" hidden="1" thickTop="1" x14ac:dyDescent="0.2">
      <c r="A49" s="17" t="s">
        <v>23</v>
      </c>
      <c r="B49" s="17">
        <v>5</v>
      </c>
      <c r="C49" s="17">
        <v>4</v>
      </c>
      <c r="D49" s="17">
        <v>4</v>
      </c>
      <c r="E49" s="17">
        <v>4</v>
      </c>
    </row>
    <row r="50" spans="1:5" ht="15.75" hidden="1" thickTop="1" x14ac:dyDescent="0.2">
      <c r="A50" s="17" t="s">
        <v>23</v>
      </c>
      <c r="B50" s="17">
        <v>5</v>
      </c>
      <c r="C50" s="17">
        <v>4</v>
      </c>
      <c r="D50" s="17">
        <v>4</v>
      </c>
      <c r="E50" s="17">
        <v>4</v>
      </c>
    </row>
    <row r="51" spans="1:5" ht="15.75" hidden="1" thickTop="1" x14ac:dyDescent="0.2">
      <c r="A51" s="17" t="s">
        <v>23</v>
      </c>
      <c r="B51" s="17">
        <v>5</v>
      </c>
      <c r="C51" s="17">
        <v>4</v>
      </c>
      <c r="D51" s="17">
        <v>4</v>
      </c>
      <c r="E51" s="17">
        <v>5</v>
      </c>
    </row>
    <row r="52" spans="1:5" ht="15.75" hidden="1" thickTop="1" x14ac:dyDescent="0.2">
      <c r="A52" s="17" t="s">
        <v>23</v>
      </c>
      <c r="B52" s="17">
        <v>5</v>
      </c>
      <c r="C52" s="17">
        <v>4</v>
      </c>
      <c r="D52" s="17">
        <v>1</v>
      </c>
      <c r="E52" s="17">
        <v>4</v>
      </c>
    </row>
    <row r="53" spans="1:5" ht="15.75" hidden="1" thickTop="1" x14ac:dyDescent="0.2">
      <c r="A53" s="17" t="s">
        <v>23</v>
      </c>
      <c r="B53" s="17">
        <v>5</v>
      </c>
      <c r="C53" s="17">
        <v>4</v>
      </c>
      <c r="D53" s="17">
        <v>5</v>
      </c>
      <c r="E53" s="17">
        <v>5</v>
      </c>
    </row>
    <row r="54" spans="1:5" ht="15.75" hidden="1" thickTop="1" x14ac:dyDescent="0.2">
      <c r="A54" s="17" t="s">
        <v>23</v>
      </c>
      <c r="B54" s="17">
        <v>5</v>
      </c>
      <c r="C54" s="17">
        <v>5</v>
      </c>
      <c r="D54" s="17">
        <v>3</v>
      </c>
      <c r="E54" s="17">
        <v>4</v>
      </c>
    </row>
    <row r="55" spans="1:5" ht="15.75" hidden="1" thickTop="1" x14ac:dyDescent="0.2">
      <c r="A55" s="17" t="s">
        <v>23</v>
      </c>
      <c r="B55" s="17">
        <v>5</v>
      </c>
      <c r="C55" s="17">
        <v>4</v>
      </c>
      <c r="D55" s="17">
        <v>4</v>
      </c>
      <c r="E55" s="17">
        <v>5</v>
      </c>
    </row>
    <row r="56" spans="1:5" ht="15.75" hidden="1" thickTop="1" x14ac:dyDescent="0.2">
      <c r="A56" s="17" t="s">
        <v>23</v>
      </c>
      <c r="B56" s="17">
        <v>4</v>
      </c>
      <c r="C56" s="17">
        <v>3</v>
      </c>
      <c r="D56" s="17">
        <v>5</v>
      </c>
      <c r="E56" s="17">
        <v>5</v>
      </c>
    </row>
    <row r="57" spans="1:5" ht="15.75" hidden="1" thickTop="1" x14ac:dyDescent="0.2">
      <c r="A57" s="17" t="s">
        <v>23</v>
      </c>
      <c r="B57" s="17">
        <v>5</v>
      </c>
      <c r="C57" s="17">
        <v>4</v>
      </c>
      <c r="D57" s="17">
        <v>4</v>
      </c>
      <c r="E57" s="17">
        <v>4</v>
      </c>
    </row>
    <row r="58" spans="1:5" ht="15.75" hidden="1" thickTop="1" x14ac:dyDescent="0.2">
      <c r="A58" s="17" t="s">
        <v>23</v>
      </c>
      <c r="B58" s="17">
        <v>5</v>
      </c>
      <c r="C58" s="17">
        <v>5</v>
      </c>
      <c r="D58" s="17">
        <v>5</v>
      </c>
      <c r="E58" s="17">
        <v>5</v>
      </c>
    </row>
    <row r="59" spans="1:5" ht="15.75" hidden="1" thickTop="1" x14ac:dyDescent="0.2">
      <c r="A59" s="17" t="s">
        <v>23</v>
      </c>
      <c r="B59" s="17">
        <v>5</v>
      </c>
      <c r="C59" s="17">
        <v>5</v>
      </c>
      <c r="D59" s="17">
        <v>4</v>
      </c>
      <c r="E59" s="17">
        <v>5</v>
      </c>
    </row>
    <row r="60" spans="1:5" ht="15.75" hidden="1" thickTop="1" x14ac:dyDescent="0.2">
      <c r="A60" s="17" t="s">
        <v>23</v>
      </c>
      <c r="B60" s="17">
        <v>4</v>
      </c>
      <c r="C60" s="17">
        <v>4</v>
      </c>
      <c r="D60" s="17">
        <v>4</v>
      </c>
      <c r="E60" s="17">
        <v>4</v>
      </c>
    </row>
    <row r="61" spans="1:5" ht="15.75" hidden="1" thickTop="1" x14ac:dyDescent="0.2">
      <c r="A61" s="17" t="s">
        <v>23</v>
      </c>
      <c r="B61" s="17">
        <v>5</v>
      </c>
      <c r="C61" s="17">
        <v>4</v>
      </c>
      <c r="D61" s="17">
        <v>5</v>
      </c>
      <c r="E61" s="17">
        <v>5</v>
      </c>
    </row>
    <row r="62" spans="1:5" ht="15.75" hidden="1" thickTop="1" x14ac:dyDescent="0.2">
      <c r="A62" s="17" t="s">
        <v>23</v>
      </c>
      <c r="B62" s="17">
        <v>4</v>
      </c>
      <c r="C62" s="17">
        <v>5</v>
      </c>
      <c r="D62" s="17">
        <v>5</v>
      </c>
      <c r="E62" s="17">
        <v>4</v>
      </c>
    </row>
    <row r="63" spans="1:5" ht="15.75" hidden="1" thickTop="1" x14ac:dyDescent="0.2">
      <c r="A63" s="17" t="s">
        <v>23</v>
      </c>
      <c r="B63" s="17">
        <v>5</v>
      </c>
      <c r="C63" s="17">
        <v>5</v>
      </c>
      <c r="D63" s="17">
        <v>5</v>
      </c>
      <c r="E63" s="17">
        <v>4</v>
      </c>
    </row>
    <row r="64" spans="1:5" ht="15.75" hidden="1" thickTop="1" x14ac:dyDescent="0.2">
      <c r="A64" s="17" t="s">
        <v>23</v>
      </c>
      <c r="B64" s="17">
        <v>5</v>
      </c>
      <c r="C64" s="17">
        <v>5</v>
      </c>
      <c r="D64" s="17">
        <v>3</v>
      </c>
      <c r="E64" s="17">
        <v>5</v>
      </c>
    </row>
    <row r="65" spans="1:5" ht="15.75" hidden="1" thickTop="1" x14ac:dyDescent="0.2">
      <c r="A65" s="17" t="s">
        <v>23</v>
      </c>
      <c r="B65" s="17">
        <v>5</v>
      </c>
      <c r="C65" s="17">
        <v>4</v>
      </c>
      <c r="D65" s="17">
        <v>4</v>
      </c>
      <c r="E65" s="17">
        <v>4</v>
      </c>
    </row>
    <row r="66" spans="1:5" ht="15.75" hidden="1" thickTop="1" x14ac:dyDescent="0.2">
      <c r="A66" s="17" t="s">
        <v>23</v>
      </c>
      <c r="B66" s="17">
        <v>5</v>
      </c>
      <c r="C66" s="17">
        <v>4</v>
      </c>
      <c r="D66" s="17">
        <v>5</v>
      </c>
      <c r="E66" s="17">
        <v>2</v>
      </c>
    </row>
    <row r="67" spans="1:5" ht="15.75" hidden="1" thickTop="1" x14ac:dyDescent="0.2">
      <c r="A67" s="17" t="s">
        <v>23</v>
      </c>
      <c r="B67" s="17">
        <v>4</v>
      </c>
      <c r="C67" s="17">
        <v>4</v>
      </c>
      <c r="D67" s="17">
        <v>5</v>
      </c>
      <c r="E67" s="17">
        <v>5</v>
      </c>
    </row>
    <row r="68" spans="1:5" ht="15.75" hidden="1" thickTop="1" x14ac:dyDescent="0.2">
      <c r="A68" s="17" t="s">
        <v>23</v>
      </c>
      <c r="B68" s="17">
        <v>4</v>
      </c>
      <c r="C68" s="17">
        <v>4</v>
      </c>
      <c r="D68" s="17">
        <v>4</v>
      </c>
      <c r="E68" s="17">
        <v>5</v>
      </c>
    </row>
    <row r="69" spans="1:5" ht="15.75" hidden="1" thickTop="1" x14ac:dyDescent="0.2">
      <c r="A69" s="17" t="s">
        <v>23</v>
      </c>
      <c r="B69" s="17">
        <v>5</v>
      </c>
      <c r="C69" s="17">
        <v>4</v>
      </c>
      <c r="D69" s="17">
        <v>4</v>
      </c>
      <c r="E69" s="17">
        <v>4</v>
      </c>
    </row>
    <row r="70" spans="1:5" ht="15.75" hidden="1" thickTop="1" x14ac:dyDescent="0.2">
      <c r="A70" s="17" t="s">
        <v>23</v>
      </c>
      <c r="B70" s="17">
        <v>5</v>
      </c>
      <c r="C70" s="17">
        <v>4</v>
      </c>
      <c r="D70" s="17">
        <v>3</v>
      </c>
      <c r="E70" s="17">
        <v>5</v>
      </c>
    </row>
    <row r="71" spans="1:5" ht="15.75" hidden="1" thickTop="1" x14ac:dyDescent="0.2">
      <c r="A71" s="17" t="s">
        <v>23</v>
      </c>
      <c r="B71" s="17">
        <v>5</v>
      </c>
      <c r="C71" s="17">
        <v>4</v>
      </c>
      <c r="D71" s="17">
        <v>5</v>
      </c>
      <c r="E71" s="17">
        <v>4</v>
      </c>
    </row>
    <row r="72" spans="1:5" ht="15.75" hidden="1" thickTop="1" x14ac:dyDescent="0.2">
      <c r="A72" s="17" t="s">
        <v>23</v>
      </c>
      <c r="B72" s="17">
        <v>5</v>
      </c>
      <c r="C72" s="17">
        <v>5</v>
      </c>
      <c r="D72" s="17">
        <v>4</v>
      </c>
      <c r="E72" s="17">
        <v>5</v>
      </c>
    </row>
    <row r="73" spans="1:5" ht="15.75" hidden="1" thickTop="1" x14ac:dyDescent="0.2">
      <c r="A73" s="17" t="s">
        <v>23</v>
      </c>
      <c r="B73" s="17">
        <v>5</v>
      </c>
      <c r="C73" s="17">
        <v>4</v>
      </c>
      <c r="D73" s="17">
        <v>4</v>
      </c>
      <c r="E73" s="17">
        <v>4</v>
      </c>
    </row>
    <row r="74" spans="1:5" ht="15.75" hidden="1" thickTop="1" x14ac:dyDescent="0.2">
      <c r="A74" s="17" t="s">
        <v>23</v>
      </c>
      <c r="B74" s="17">
        <v>5</v>
      </c>
      <c r="C74" s="17">
        <v>4</v>
      </c>
      <c r="D74" s="17">
        <v>5</v>
      </c>
      <c r="E74" s="17">
        <v>2</v>
      </c>
    </row>
    <row r="75" spans="1:5" ht="15.75" hidden="1" thickTop="1" x14ac:dyDescent="0.2">
      <c r="A75" s="17" t="s">
        <v>23</v>
      </c>
      <c r="B75" s="17">
        <v>5</v>
      </c>
      <c r="C75" s="17">
        <v>3</v>
      </c>
      <c r="D75" s="17">
        <v>4</v>
      </c>
      <c r="E75" s="17">
        <v>5</v>
      </c>
    </row>
    <row r="76" spans="1:5" ht="15.75" hidden="1" thickTop="1" x14ac:dyDescent="0.2">
      <c r="A76" s="17" t="s">
        <v>23</v>
      </c>
      <c r="B76" s="17">
        <v>5</v>
      </c>
      <c r="C76" s="17">
        <v>4</v>
      </c>
      <c r="D76" s="17">
        <v>5</v>
      </c>
      <c r="E76" s="17">
        <v>5</v>
      </c>
    </row>
    <row r="77" spans="1:5" ht="15.75" hidden="1" thickTop="1" x14ac:dyDescent="0.2">
      <c r="A77" s="17" t="s">
        <v>23</v>
      </c>
      <c r="B77" s="17">
        <v>5</v>
      </c>
      <c r="C77" s="17">
        <v>4</v>
      </c>
      <c r="D77" s="17">
        <v>1</v>
      </c>
      <c r="E77" s="17">
        <v>5</v>
      </c>
    </row>
    <row r="78" spans="1:5" ht="15.75" hidden="1" thickTop="1" x14ac:dyDescent="0.2">
      <c r="A78" s="17" t="s">
        <v>23</v>
      </c>
      <c r="B78" s="17">
        <v>4</v>
      </c>
      <c r="C78" s="17">
        <v>5</v>
      </c>
      <c r="D78" s="17">
        <v>3</v>
      </c>
      <c r="E78" s="17">
        <v>5</v>
      </c>
    </row>
    <row r="79" spans="1:5" ht="15.75" hidden="1" thickTop="1" x14ac:dyDescent="0.2">
      <c r="A79" s="17" t="s">
        <v>23</v>
      </c>
      <c r="B79" s="17">
        <v>3</v>
      </c>
      <c r="C79" s="17">
        <v>5</v>
      </c>
      <c r="D79" s="17">
        <v>2</v>
      </c>
      <c r="E79" s="17">
        <v>5</v>
      </c>
    </row>
    <row r="80" spans="1:5" ht="15.75" hidden="1" thickTop="1" x14ac:dyDescent="0.2">
      <c r="A80" s="17" t="s">
        <v>23</v>
      </c>
      <c r="B80" s="17">
        <v>5</v>
      </c>
      <c r="C80" s="17">
        <v>5</v>
      </c>
      <c r="D80" s="17">
        <v>4</v>
      </c>
      <c r="E80" s="17">
        <v>4</v>
      </c>
    </row>
    <row r="81" spans="1:5" ht="15.75" hidden="1" thickTop="1" x14ac:dyDescent="0.2">
      <c r="A81" s="17" t="s">
        <v>23</v>
      </c>
      <c r="B81" s="17">
        <v>4</v>
      </c>
      <c r="C81" s="17">
        <v>4</v>
      </c>
      <c r="D81" s="17">
        <v>3</v>
      </c>
      <c r="E81" s="17">
        <v>5</v>
      </c>
    </row>
    <row r="82" spans="1:5" ht="15.75" hidden="1" thickTop="1" x14ac:dyDescent="0.2">
      <c r="A82" s="17" t="s">
        <v>23</v>
      </c>
      <c r="B82" s="17">
        <v>3</v>
      </c>
      <c r="C82" s="17">
        <v>2</v>
      </c>
      <c r="D82" s="17">
        <v>4</v>
      </c>
      <c r="E82" s="17">
        <v>5</v>
      </c>
    </row>
    <row r="83" spans="1:5" ht="15.75" hidden="1" thickTop="1" x14ac:dyDescent="0.2">
      <c r="A83" s="17" t="s">
        <v>23</v>
      </c>
      <c r="B83" s="17">
        <v>1</v>
      </c>
      <c r="C83" s="17">
        <v>4</v>
      </c>
      <c r="D83" s="17">
        <v>3</v>
      </c>
      <c r="E83" s="17">
        <v>4</v>
      </c>
    </row>
    <row r="84" spans="1:5" ht="15.75" hidden="1" thickTop="1" x14ac:dyDescent="0.2">
      <c r="A84" s="17" t="s">
        <v>23</v>
      </c>
      <c r="B84" s="17">
        <v>4</v>
      </c>
      <c r="C84" s="17">
        <v>5</v>
      </c>
      <c r="D84" s="17">
        <v>3</v>
      </c>
      <c r="E84" s="17">
        <v>5</v>
      </c>
    </row>
    <row r="85" spans="1:5" ht="15.75" hidden="1" thickTop="1" x14ac:dyDescent="0.2">
      <c r="A85" s="17" t="s">
        <v>23</v>
      </c>
      <c r="B85" s="17">
        <v>5</v>
      </c>
      <c r="C85" s="17">
        <v>5</v>
      </c>
      <c r="D85" s="17">
        <v>4</v>
      </c>
      <c r="E85" s="17">
        <v>4</v>
      </c>
    </row>
    <row r="86" spans="1:5" ht="15.75" hidden="1" thickTop="1" x14ac:dyDescent="0.2">
      <c r="A86" s="17" t="s">
        <v>23</v>
      </c>
      <c r="B86" s="17">
        <v>4</v>
      </c>
      <c r="C86" s="17">
        <v>5</v>
      </c>
      <c r="D86" s="17">
        <v>5</v>
      </c>
      <c r="E86" s="17">
        <v>5</v>
      </c>
    </row>
    <row r="87" spans="1:5" ht="15.75" hidden="1" thickTop="1" x14ac:dyDescent="0.2">
      <c r="A87" s="17" t="s">
        <v>23</v>
      </c>
      <c r="B87" s="17">
        <v>5</v>
      </c>
      <c r="C87" s="17">
        <v>5</v>
      </c>
      <c r="D87" s="17">
        <v>4</v>
      </c>
      <c r="E87" s="17">
        <v>5</v>
      </c>
    </row>
    <row r="88" spans="1:5" ht="15.75" hidden="1" thickTop="1" x14ac:dyDescent="0.2">
      <c r="A88" s="17" t="s">
        <v>23</v>
      </c>
      <c r="B88" s="17">
        <v>5</v>
      </c>
      <c r="C88" s="17">
        <v>5</v>
      </c>
      <c r="D88" s="17">
        <v>4</v>
      </c>
      <c r="E88" s="17">
        <v>4</v>
      </c>
    </row>
    <row r="89" spans="1:5" ht="15.75" hidden="1" thickTop="1" x14ac:dyDescent="0.2">
      <c r="A89" s="17" t="s">
        <v>23</v>
      </c>
      <c r="B89" s="17">
        <v>4</v>
      </c>
      <c r="C89" s="17">
        <v>2</v>
      </c>
      <c r="D89" s="17">
        <v>4</v>
      </c>
      <c r="E89" s="17">
        <v>5</v>
      </c>
    </row>
    <row r="90" spans="1:5" ht="15.75" hidden="1" thickTop="1" x14ac:dyDescent="0.2">
      <c r="A90" s="17" t="s">
        <v>23</v>
      </c>
      <c r="B90" s="17">
        <v>5</v>
      </c>
      <c r="C90" s="17">
        <v>4</v>
      </c>
      <c r="D90" s="17">
        <v>5</v>
      </c>
      <c r="E90" s="17">
        <v>4</v>
      </c>
    </row>
    <row r="91" spans="1:5" ht="15.75" hidden="1" thickTop="1" x14ac:dyDescent="0.2">
      <c r="A91" s="17" t="s">
        <v>23</v>
      </c>
      <c r="B91" s="17">
        <v>5</v>
      </c>
      <c r="C91" s="17">
        <v>4</v>
      </c>
      <c r="D91" s="17">
        <v>5</v>
      </c>
      <c r="E91" s="17">
        <v>4</v>
      </c>
    </row>
    <row r="92" spans="1:5" ht="15.75" hidden="1" thickTop="1" x14ac:dyDescent="0.2">
      <c r="A92" s="17" t="s">
        <v>23</v>
      </c>
      <c r="B92" s="17">
        <v>5</v>
      </c>
      <c r="C92" s="17">
        <v>5</v>
      </c>
      <c r="D92" s="17">
        <v>4</v>
      </c>
      <c r="E92" s="17">
        <v>3</v>
      </c>
    </row>
    <row r="93" spans="1:5" ht="15.75" hidden="1" thickTop="1" x14ac:dyDescent="0.2">
      <c r="A93" s="17" t="s">
        <v>23</v>
      </c>
      <c r="B93" s="17">
        <v>5</v>
      </c>
      <c r="C93" s="17">
        <v>5</v>
      </c>
      <c r="D93" s="17">
        <v>5</v>
      </c>
      <c r="E93" s="17">
        <v>5</v>
      </c>
    </row>
    <row r="94" spans="1:5" ht="15.75" hidden="1" thickTop="1" x14ac:dyDescent="0.2">
      <c r="A94" s="17" t="s">
        <v>23</v>
      </c>
      <c r="B94" s="17">
        <v>4</v>
      </c>
      <c r="C94" s="17">
        <v>5</v>
      </c>
      <c r="D94" s="17">
        <v>5</v>
      </c>
      <c r="E94" s="17">
        <v>3</v>
      </c>
    </row>
    <row r="95" spans="1:5" ht="15.75" hidden="1" thickTop="1" x14ac:dyDescent="0.2">
      <c r="A95" s="17" t="s">
        <v>23</v>
      </c>
      <c r="B95" s="17">
        <v>5</v>
      </c>
      <c r="C95" s="17">
        <v>5</v>
      </c>
      <c r="D95" s="17">
        <v>4</v>
      </c>
      <c r="E95" s="17">
        <v>5</v>
      </c>
    </row>
    <row r="96" spans="1:5" ht="15.75" hidden="1" thickTop="1" x14ac:dyDescent="0.2">
      <c r="A96" s="17" t="s">
        <v>23</v>
      </c>
      <c r="B96" s="17">
        <v>4</v>
      </c>
      <c r="C96" s="17">
        <v>4</v>
      </c>
      <c r="D96" s="17">
        <v>5</v>
      </c>
      <c r="E96" s="17">
        <v>5</v>
      </c>
    </row>
    <row r="97" spans="1:5" ht="15.75" hidden="1" thickTop="1" x14ac:dyDescent="0.2">
      <c r="A97" s="17" t="s">
        <v>23</v>
      </c>
      <c r="B97" s="17">
        <v>5</v>
      </c>
      <c r="C97" s="17">
        <v>5</v>
      </c>
      <c r="D97" s="17">
        <v>3</v>
      </c>
      <c r="E97" s="17">
        <v>4</v>
      </c>
    </row>
    <row r="98" spans="1:5" ht="15.75" hidden="1" thickTop="1" x14ac:dyDescent="0.2">
      <c r="A98" s="17" t="s">
        <v>23</v>
      </c>
      <c r="B98" s="17">
        <v>4</v>
      </c>
      <c r="C98" s="17">
        <v>5</v>
      </c>
      <c r="D98" s="17">
        <v>2</v>
      </c>
      <c r="E98" s="17">
        <v>4</v>
      </c>
    </row>
    <row r="99" spans="1:5" ht="15.75" hidden="1" thickTop="1" x14ac:dyDescent="0.2">
      <c r="A99" s="17" t="s">
        <v>23</v>
      </c>
      <c r="B99" s="17">
        <v>5</v>
      </c>
      <c r="C99" s="17">
        <v>5</v>
      </c>
      <c r="D99" s="17">
        <v>5</v>
      </c>
      <c r="E99" s="17">
        <v>4</v>
      </c>
    </row>
    <row r="100" spans="1:5" ht="15.75" hidden="1" thickTop="1" x14ac:dyDescent="0.2">
      <c r="A100" s="17" t="s">
        <v>23</v>
      </c>
      <c r="B100" s="17">
        <v>4</v>
      </c>
      <c r="C100" s="17">
        <v>5</v>
      </c>
      <c r="D100" s="17">
        <v>4</v>
      </c>
      <c r="E100" s="17">
        <v>3</v>
      </c>
    </row>
    <row r="101" spans="1:5" ht="15.75" hidden="1" thickTop="1" x14ac:dyDescent="0.2">
      <c r="A101" s="17" t="s">
        <v>23</v>
      </c>
      <c r="B101" s="17">
        <v>4</v>
      </c>
      <c r="C101" s="17">
        <v>5</v>
      </c>
      <c r="D101" s="17">
        <v>5</v>
      </c>
      <c r="E101" s="17">
        <v>4</v>
      </c>
    </row>
    <row r="102" spans="1:5" ht="15.75" hidden="1" thickTop="1" x14ac:dyDescent="0.2">
      <c r="A102" s="17" t="s">
        <v>24</v>
      </c>
      <c r="B102" s="17">
        <v>5</v>
      </c>
      <c r="C102" s="17">
        <v>4</v>
      </c>
      <c r="D102" s="17">
        <v>3</v>
      </c>
      <c r="E102" s="17">
        <v>5</v>
      </c>
    </row>
    <row r="103" spans="1:5" ht="15.75" hidden="1" thickTop="1" x14ac:dyDescent="0.2">
      <c r="A103" s="17" t="s">
        <v>24</v>
      </c>
      <c r="B103" s="17">
        <v>5</v>
      </c>
      <c r="C103" s="17">
        <v>4</v>
      </c>
      <c r="D103" s="17">
        <v>2</v>
      </c>
      <c r="E103" s="17">
        <v>4</v>
      </c>
    </row>
    <row r="104" spans="1:5" ht="15.75" hidden="1" thickTop="1" x14ac:dyDescent="0.2">
      <c r="A104" s="17" t="s">
        <v>24</v>
      </c>
      <c r="B104" s="17">
        <v>5</v>
      </c>
      <c r="C104" s="17">
        <v>4</v>
      </c>
      <c r="D104" s="17">
        <v>5</v>
      </c>
      <c r="E104" s="17">
        <v>5</v>
      </c>
    </row>
    <row r="105" spans="1:5" ht="15.75" hidden="1" thickTop="1" x14ac:dyDescent="0.2">
      <c r="A105" s="17" t="s">
        <v>24</v>
      </c>
      <c r="B105" s="17">
        <v>4</v>
      </c>
      <c r="C105" s="17">
        <v>2</v>
      </c>
      <c r="D105" s="17">
        <v>4</v>
      </c>
      <c r="E105" s="17">
        <v>5</v>
      </c>
    </row>
    <row r="106" spans="1:5" ht="15.75" hidden="1" thickTop="1" x14ac:dyDescent="0.2">
      <c r="A106" s="17" t="s">
        <v>24</v>
      </c>
      <c r="B106" s="17">
        <v>5</v>
      </c>
      <c r="C106" s="17">
        <v>4</v>
      </c>
      <c r="D106" s="17">
        <v>4</v>
      </c>
      <c r="E106" s="17">
        <v>5</v>
      </c>
    </row>
    <row r="107" spans="1:5" ht="15.75" hidden="1" thickTop="1" x14ac:dyDescent="0.2">
      <c r="A107" s="17" t="s">
        <v>24</v>
      </c>
      <c r="B107" s="17">
        <v>4</v>
      </c>
      <c r="C107" s="17">
        <v>5</v>
      </c>
      <c r="D107" s="17">
        <v>2</v>
      </c>
      <c r="E107" s="17">
        <v>5</v>
      </c>
    </row>
    <row r="108" spans="1:5" ht="15.75" hidden="1" thickTop="1" x14ac:dyDescent="0.2">
      <c r="A108" s="17" t="s">
        <v>24</v>
      </c>
      <c r="B108" s="17">
        <v>5</v>
      </c>
      <c r="C108" s="17">
        <v>4</v>
      </c>
      <c r="D108" s="17">
        <v>4</v>
      </c>
      <c r="E108" s="17">
        <v>4</v>
      </c>
    </row>
    <row r="109" spans="1:5" ht="15.75" hidden="1" thickTop="1" x14ac:dyDescent="0.2">
      <c r="A109" s="17" t="s">
        <v>24</v>
      </c>
      <c r="B109" s="17">
        <v>4</v>
      </c>
      <c r="C109" s="17">
        <v>5</v>
      </c>
      <c r="D109" s="17">
        <v>3</v>
      </c>
      <c r="E109" s="17">
        <v>5</v>
      </c>
    </row>
    <row r="110" spans="1:5" ht="15.75" hidden="1" thickTop="1" x14ac:dyDescent="0.2">
      <c r="A110" s="17" t="s">
        <v>24</v>
      </c>
      <c r="B110" s="17">
        <v>4</v>
      </c>
      <c r="C110" s="17">
        <v>4</v>
      </c>
      <c r="D110" s="17">
        <v>4</v>
      </c>
      <c r="E110" s="17">
        <v>3</v>
      </c>
    </row>
    <row r="111" spans="1:5" ht="15.75" hidden="1" thickTop="1" x14ac:dyDescent="0.2">
      <c r="A111" s="17" t="s">
        <v>24</v>
      </c>
      <c r="B111" s="17">
        <v>4</v>
      </c>
      <c r="C111" s="17">
        <v>4</v>
      </c>
      <c r="D111" s="17">
        <v>2</v>
      </c>
      <c r="E111" s="17">
        <v>4</v>
      </c>
    </row>
    <row r="112" spans="1:5" ht="15.75" hidden="1" thickTop="1" x14ac:dyDescent="0.2">
      <c r="A112" s="17" t="s">
        <v>24</v>
      </c>
      <c r="B112" s="17">
        <v>5</v>
      </c>
      <c r="C112" s="17">
        <v>4</v>
      </c>
      <c r="D112" s="17">
        <v>3</v>
      </c>
      <c r="E112" s="17">
        <v>4</v>
      </c>
    </row>
    <row r="113" spans="1:5" ht="15.75" hidden="1" thickTop="1" x14ac:dyDescent="0.2">
      <c r="A113" s="17" t="s">
        <v>24</v>
      </c>
      <c r="B113" s="17">
        <v>3</v>
      </c>
      <c r="C113" s="17">
        <v>3</v>
      </c>
      <c r="D113" s="17">
        <v>5</v>
      </c>
      <c r="E113" s="17">
        <v>5</v>
      </c>
    </row>
    <row r="114" spans="1:5" ht="15.75" hidden="1" thickTop="1" x14ac:dyDescent="0.2">
      <c r="A114" s="17" t="s">
        <v>24</v>
      </c>
      <c r="B114" s="17">
        <v>5</v>
      </c>
      <c r="C114" s="17">
        <v>4</v>
      </c>
      <c r="D114" s="17">
        <v>3</v>
      </c>
      <c r="E114" s="17">
        <v>4</v>
      </c>
    </row>
    <row r="115" spans="1:5" ht="15.75" hidden="1" thickTop="1" x14ac:dyDescent="0.2">
      <c r="A115" s="17" t="s">
        <v>24</v>
      </c>
      <c r="B115" s="17">
        <v>5</v>
      </c>
      <c r="C115" s="17">
        <v>4</v>
      </c>
      <c r="D115" s="17">
        <v>2</v>
      </c>
      <c r="E115" s="17">
        <v>5</v>
      </c>
    </row>
    <row r="116" spans="1:5" ht="15.75" hidden="1" thickTop="1" x14ac:dyDescent="0.2">
      <c r="A116" s="17" t="s">
        <v>24</v>
      </c>
      <c r="B116" s="17">
        <v>4</v>
      </c>
      <c r="C116" s="17">
        <v>4</v>
      </c>
      <c r="D116" s="17">
        <v>3</v>
      </c>
      <c r="E116" s="17">
        <v>4</v>
      </c>
    </row>
    <row r="117" spans="1:5" ht="15.75" hidden="1" thickTop="1" x14ac:dyDescent="0.2">
      <c r="A117" s="17" t="s">
        <v>24</v>
      </c>
      <c r="B117" s="17">
        <v>4</v>
      </c>
      <c r="C117" s="17">
        <v>4</v>
      </c>
      <c r="D117" s="17">
        <v>3</v>
      </c>
      <c r="E117" s="17">
        <v>5</v>
      </c>
    </row>
    <row r="118" spans="1:5" ht="15.75" hidden="1" thickTop="1" x14ac:dyDescent="0.2">
      <c r="A118" s="17" t="s">
        <v>24</v>
      </c>
      <c r="B118" s="17">
        <v>1</v>
      </c>
      <c r="C118" s="17">
        <v>5</v>
      </c>
      <c r="D118" s="17">
        <v>3</v>
      </c>
      <c r="E118" s="17">
        <v>4</v>
      </c>
    </row>
    <row r="119" spans="1:5" ht="15.75" hidden="1" thickTop="1" x14ac:dyDescent="0.2">
      <c r="A119" s="17" t="s">
        <v>24</v>
      </c>
      <c r="B119" s="17">
        <v>5</v>
      </c>
      <c r="C119" s="17">
        <v>4</v>
      </c>
      <c r="D119" s="17">
        <v>2</v>
      </c>
      <c r="E119" s="17">
        <v>4</v>
      </c>
    </row>
    <row r="120" spans="1:5" ht="15.75" hidden="1" thickTop="1" x14ac:dyDescent="0.2">
      <c r="A120" s="17" t="s">
        <v>24</v>
      </c>
      <c r="B120" s="17">
        <v>4</v>
      </c>
      <c r="C120" s="17">
        <v>4</v>
      </c>
      <c r="D120" s="17">
        <v>4</v>
      </c>
      <c r="E120" s="17">
        <v>4</v>
      </c>
    </row>
    <row r="121" spans="1:5" ht="15.75" hidden="1" thickTop="1" x14ac:dyDescent="0.2">
      <c r="A121" s="17" t="s">
        <v>24</v>
      </c>
      <c r="B121" s="17">
        <v>4</v>
      </c>
      <c r="C121" s="17">
        <v>4</v>
      </c>
      <c r="D121" s="17">
        <v>5</v>
      </c>
      <c r="E121" s="17">
        <v>5</v>
      </c>
    </row>
    <row r="122" spans="1:5" ht="15.75" hidden="1" thickTop="1" x14ac:dyDescent="0.2">
      <c r="A122" s="17" t="s">
        <v>24</v>
      </c>
      <c r="B122" s="17">
        <v>5</v>
      </c>
      <c r="C122" s="17">
        <v>4</v>
      </c>
      <c r="D122" s="17">
        <v>2</v>
      </c>
      <c r="E122" s="17">
        <v>4</v>
      </c>
    </row>
    <row r="123" spans="1:5" ht="15.75" hidden="1" thickTop="1" x14ac:dyDescent="0.2">
      <c r="A123" s="17" t="s">
        <v>24</v>
      </c>
      <c r="B123" s="17">
        <v>4</v>
      </c>
      <c r="C123" s="17">
        <v>4</v>
      </c>
      <c r="D123" s="17">
        <v>5</v>
      </c>
      <c r="E123" s="17">
        <v>5</v>
      </c>
    </row>
    <row r="124" spans="1:5" ht="15.75" hidden="1" thickTop="1" x14ac:dyDescent="0.2">
      <c r="A124" s="17" t="s">
        <v>24</v>
      </c>
      <c r="B124" s="17">
        <v>4</v>
      </c>
      <c r="C124" s="17">
        <v>4</v>
      </c>
      <c r="D124" s="17">
        <v>4</v>
      </c>
      <c r="E124" s="17">
        <v>3</v>
      </c>
    </row>
    <row r="125" spans="1:5" ht="15.75" hidden="1" thickTop="1" x14ac:dyDescent="0.2">
      <c r="A125" s="17" t="s">
        <v>24</v>
      </c>
      <c r="B125" s="17">
        <v>3</v>
      </c>
      <c r="C125" s="17">
        <v>3</v>
      </c>
      <c r="D125" s="17">
        <v>4</v>
      </c>
      <c r="E125" s="17">
        <v>5</v>
      </c>
    </row>
    <row r="126" spans="1:5" ht="15.75" hidden="1" thickTop="1" x14ac:dyDescent="0.2">
      <c r="A126" s="17" t="s">
        <v>24</v>
      </c>
      <c r="B126" s="17">
        <v>5</v>
      </c>
      <c r="C126" s="17">
        <v>4</v>
      </c>
      <c r="D126" s="17">
        <v>4</v>
      </c>
      <c r="E126" s="17">
        <v>4</v>
      </c>
    </row>
    <row r="127" spans="1:5" ht="15.75" hidden="1" thickTop="1" x14ac:dyDescent="0.2">
      <c r="A127" s="17" t="s">
        <v>24</v>
      </c>
      <c r="B127" s="17">
        <v>4</v>
      </c>
      <c r="C127" s="17">
        <v>4</v>
      </c>
      <c r="D127" s="17">
        <v>4</v>
      </c>
      <c r="E127" s="17">
        <v>1</v>
      </c>
    </row>
    <row r="128" spans="1:5" ht="15.75" hidden="1" thickTop="1" x14ac:dyDescent="0.2">
      <c r="A128" s="17" t="s">
        <v>24</v>
      </c>
      <c r="B128" s="17">
        <v>4</v>
      </c>
      <c r="C128" s="17">
        <v>5</v>
      </c>
      <c r="D128" s="17">
        <v>5</v>
      </c>
      <c r="E128" s="17">
        <v>5</v>
      </c>
    </row>
    <row r="129" spans="1:5" ht="15.75" hidden="1" thickTop="1" x14ac:dyDescent="0.2">
      <c r="A129" s="17" t="s">
        <v>24</v>
      </c>
      <c r="B129" s="17">
        <v>4</v>
      </c>
      <c r="C129" s="17">
        <v>1</v>
      </c>
      <c r="D129" s="17">
        <v>4</v>
      </c>
      <c r="E129" s="17">
        <v>5</v>
      </c>
    </row>
    <row r="130" spans="1:5" ht="15.75" hidden="1" thickTop="1" x14ac:dyDescent="0.2">
      <c r="A130" s="17" t="s">
        <v>24</v>
      </c>
      <c r="B130" s="17">
        <v>4</v>
      </c>
      <c r="C130" s="17">
        <v>5</v>
      </c>
      <c r="D130" s="17">
        <v>4</v>
      </c>
      <c r="E130" s="17">
        <v>4</v>
      </c>
    </row>
    <row r="131" spans="1:5" ht="15.75" hidden="1" thickTop="1" x14ac:dyDescent="0.2">
      <c r="A131" s="17" t="s">
        <v>24</v>
      </c>
      <c r="B131" s="17">
        <v>4</v>
      </c>
      <c r="C131" s="17">
        <v>4</v>
      </c>
      <c r="D131" s="17">
        <v>4</v>
      </c>
      <c r="E131" s="17">
        <v>5</v>
      </c>
    </row>
    <row r="132" spans="1:5" ht="15.75" hidden="1" thickTop="1" x14ac:dyDescent="0.2">
      <c r="A132" s="17" t="s">
        <v>24</v>
      </c>
      <c r="B132" s="17">
        <v>5</v>
      </c>
      <c r="C132" s="17">
        <v>4</v>
      </c>
      <c r="D132" s="17">
        <v>3</v>
      </c>
      <c r="E132" s="17">
        <v>4</v>
      </c>
    </row>
    <row r="133" spans="1:5" ht="15.75" hidden="1" thickTop="1" x14ac:dyDescent="0.2">
      <c r="A133" s="17" t="s">
        <v>24</v>
      </c>
      <c r="B133" s="17">
        <v>4</v>
      </c>
      <c r="C133" s="17">
        <v>4</v>
      </c>
      <c r="D133" s="17">
        <v>4</v>
      </c>
      <c r="E133" s="17">
        <v>5</v>
      </c>
    </row>
    <row r="134" spans="1:5" ht="15.75" hidden="1" thickTop="1" x14ac:dyDescent="0.2">
      <c r="A134" s="17" t="s">
        <v>24</v>
      </c>
      <c r="B134" s="17">
        <v>5</v>
      </c>
      <c r="C134" s="17">
        <v>5</v>
      </c>
      <c r="D134" s="17">
        <v>4</v>
      </c>
      <c r="E134" s="17">
        <v>3</v>
      </c>
    </row>
    <row r="135" spans="1:5" ht="15.75" hidden="1" thickTop="1" x14ac:dyDescent="0.2">
      <c r="A135" s="17" t="s">
        <v>24</v>
      </c>
      <c r="B135" s="17">
        <v>5</v>
      </c>
      <c r="C135" s="17">
        <v>5</v>
      </c>
      <c r="D135" s="17">
        <v>4</v>
      </c>
      <c r="E135" s="17">
        <v>4</v>
      </c>
    </row>
    <row r="136" spans="1:5" ht="15.75" hidden="1" thickTop="1" x14ac:dyDescent="0.2">
      <c r="A136" s="17" t="s">
        <v>24</v>
      </c>
      <c r="B136" s="17">
        <v>4</v>
      </c>
      <c r="C136" s="17">
        <v>4</v>
      </c>
      <c r="D136" s="17">
        <v>2</v>
      </c>
      <c r="E136" s="17">
        <v>4</v>
      </c>
    </row>
    <row r="137" spans="1:5" ht="15.75" hidden="1" thickTop="1" x14ac:dyDescent="0.2">
      <c r="A137" s="17" t="s">
        <v>24</v>
      </c>
      <c r="B137" s="17">
        <v>4</v>
      </c>
      <c r="C137" s="17">
        <v>4</v>
      </c>
      <c r="D137" s="17">
        <v>4</v>
      </c>
      <c r="E137" s="17">
        <v>5</v>
      </c>
    </row>
    <row r="138" spans="1:5" ht="15.75" hidden="1" thickTop="1" x14ac:dyDescent="0.2">
      <c r="A138" s="17" t="s">
        <v>24</v>
      </c>
      <c r="B138" s="17">
        <v>5</v>
      </c>
      <c r="C138" s="17">
        <v>4</v>
      </c>
      <c r="D138" s="17">
        <v>4</v>
      </c>
      <c r="E138" s="17">
        <v>5</v>
      </c>
    </row>
    <row r="139" spans="1:5" ht="15.75" hidden="1" thickTop="1" x14ac:dyDescent="0.2">
      <c r="A139" s="17" t="s">
        <v>24</v>
      </c>
      <c r="B139" s="17">
        <v>5</v>
      </c>
      <c r="C139" s="17">
        <v>4</v>
      </c>
      <c r="D139" s="17">
        <v>4</v>
      </c>
      <c r="E139" s="17">
        <v>4</v>
      </c>
    </row>
    <row r="140" spans="1:5" ht="15.75" hidden="1" thickTop="1" x14ac:dyDescent="0.2">
      <c r="A140" s="17" t="s">
        <v>24</v>
      </c>
      <c r="B140" s="17">
        <v>5</v>
      </c>
      <c r="C140" s="17">
        <v>4</v>
      </c>
      <c r="D140" s="17">
        <v>1</v>
      </c>
      <c r="E140" s="17">
        <v>4</v>
      </c>
    </row>
    <row r="141" spans="1:5" ht="15.75" hidden="1" thickTop="1" x14ac:dyDescent="0.2">
      <c r="A141" s="17" t="s">
        <v>24</v>
      </c>
      <c r="B141" s="17">
        <v>3</v>
      </c>
      <c r="C141" s="17">
        <v>4</v>
      </c>
      <c r="D141" s="17">
        <v>4</v>
      </c>
      <c r="E141" s="17">
        <v>5</v>
      </c>
    </row>
    <row r="142" spans="1:5" ht="15.75" hidden="1" thickTop="1" x14ac:dyDescent="0.2">
      <c r="A142" s="17" t="s">
        <v>24</v>
      </c>
      <c r="B142" s="17">
        <v>4</v>
      </c>
      <c r="C142" s="17">
        <v>3</v>
      </c>
      <c r="D142" s="17">
        <v>5</v>
      </c>
      <c r="E142" s="17">
        <v>4</v>
      </c>
    </row>
    <row r="143" spans="1:5" ht="15.75" hidden="1" thickTop="1" x14ac:dyDescent="0.2">
      <c r="A143" s="17" t="s">
        <v>24</v>
      </c>
      <c r="B143" s="17">
        <v>4</v>
      </c>
      <c r="C143" s="17">
        <v>4</v>
      </c>
      <c r="D143" s="17">
        <v>2</v>
      </c>
      <c r="E143" s="17">
        <v>3</v>
      </c>
    </row>
    <row r="144" spans="1:5" ht="15.75" hidden="1" thickTop="1" x14ac:dyDescent="0.2">
      <c r="A144" s="17" t="s">
        <v>24</v>
      </c>
      <c r="B144" s="17">
        <v>5</v>
      </c>
      <c r="C144" s="17">
        <v>4</v>
      </c>
      <c r="D144" s="17">
        <v>3</v>
      </c>
      <c r="E144" s="17">
        <v>3</v>
      </c>
    </row>
    <row r="145" spans="1:5" ht="15.75" hidden="1" thickTop="1" x14ac:dyDescent="0.2">
      <c r="A145" s="17" t="s">
        <v>24</v>
      </c>
      <c r="B145" s="17">
        <v>4</v>
      </c>
      <c r="C145" s="17">
        <v>3</v>
      </c>
      <c r="D145" s="17">
        <v>4</v>
      </c>
      <c r="E145" s="17">
        <v>5</v>
      </c>
    </row>
    <row r="146" spans="1:5" ht="15.75" hidden="1" thickTop="1" x14ac:dyDescent="0.2">
      <c r="A146" s="17" t="s">
        <v>24</v>
      </c>
      <c r="B146" s="17">
        <v>5</v>
      </c>
      <c r="C146" s="17">
        <v>3</v>
      </c>
      <c r="D146" s="17">
        <v>5</v>
      </c>
      <c r="E146" s="17">
        <v>5</v>
      </c>
    </row>
    <row r="147" spans="1:5" ht="15.75" hidden="1" thickTop="1" x14ac:dyDescent="0.2">
      <c r="A147" s="17" t="s">
        <v>24</v>
      </c>
      <c r="B147" s="17">
        <v>5</v>
      </c>
      <c r="C147" s="17">
        <v>4</v>
      </c>
      <c r="D147" s="17">
        <v>4</v>
      </c>
      <c r="E147" s="17">
        <v>4</v>
      </c>
    </row>
    <row r="148" spans="1:5" ht="15.75" hidden="1" thickTop="1" x14ac:dyDescent="0.2">
      <c r="A148" s="17" t="s">
        <v>24</v>
      </c>
      <c r="B148" s="17">
        <v>5</v>
      </c>
      <c r="C148" s="17">
        <v>4</v>
      </c>
      <c r="D148" s="17">
        <v>4</v>
      </c>
      <c r="E148" s="17">
        <v>4</v>
      </c>
    </row>
    <row r="149" spans="1:5" ht="15.75" hidden="1" thickTop="1" x14ac:dyDescent="0.2">
      <c r="A149" s="17" t="s">
        <v>24</v>
      </c>
      <c r="B149" s="17">
        <v>3</v>
      </c>
      <c r="C149" s="17">
        <v>4</v>
      </c>
      <c r="D149" s="17">
        <v>3</v>
      </c>
      <c r="E149" s="17">
        <v>4</v>
      </c>
    </row>
    <row r="150" spans="1:5" ht="15.75" hidden="1" thickTop="1" x14ac:dyDescent="0.2">
      <c r="A150" s="17" t="s">
        <v>24</v>
      </c>
      <c r="B150" s="17">
        <v>4</v>
      </c>
      <c r="C150" s="17">
        <v>4</v>
      </c>
      <c r="D150" s="17">
        <v>1</v>
      </c>
      <c r="E150" s="17">
        <v>4</v>
      </c>
    </row>
    <row r="151" spans="1:5" ht="15.75" hidden="1" thickTop="1" x14ac:dyDescent="0.2">
      <c r="A151" s="17" t="s">
        <v>24</v>
      </c>
      <c r="B151" s="17">
        <v>4</v>
      </c>
      <c r="C151" s="17">
        <v>3</v>
      </c>
      <c r="D151" s="17">
        <v>4</v>
      </c>
      <c r="E151" s="17">
        <v>3</v>
      </c>
    </row>
    <row r="152" spans="1:5" ht="15.75" hidden="1" thickTop="1" x14ac:dyDescent="0.2">
      <c r="A152" s="17" t="s">
        <v>25</v>
      </c>
      <c r="B152" s="17">
        <v>4</v>
      </c>
      <c r="C152" s="17">
        <v>5</v>
      </c>
      <c r="D152" s="17">
        <v>5</v>
      </c>
      <c r="E152" s="17">
        <v>3</v>
      </c>
    </row>
    <row r="153" spans="1:5" ht="15.75" hidden="1" thickTop="1" x14ac:dyDescent="0.2">
      <c r="A153" s="17" t="s">
        <v>25</v>
      </c>
      <c r="B153" s="17">
        <v>4</v>
      </c>
      <c r="C153" s="17">
        <v>4</v>
      </c>
      <c r="D153" s="17">
        <v>4</v>
      </c>
      <c r="E153" s="17">
        <v>2</v>
      </c>
    </row>
    <row r="154" spans="1:5" ht="15.75" hidden="1" thickTop="1" x14ac:dyDescent="0.2">
      <c r="A154" s="17" t="s">
        <v>25</v>
      </c>
      <c r="B154" s="17">
        <v>3</v>
      </c>
      <c r="C154" s="17">
        <v>4</v>
      </c>
      <c r="D154" s="17">
        <v>5</v>
      </c>
      <c r="E154" s="17">
        <v>4</v>
      </c>
    </row>
    <row r="155" spans="1:5" ht="15.75" hidden="1" thickTop="1" x14ac:dyDescent="0.2">
      <c r="A155" s="17" t="s">
        <v>25</v>
      </c>
      <c r="B155" s="17">
        <v>3</v>
      </c>
      <c r="C155" s="17">
        <v>4</v>
      </c>
      <c r="D155" s="17">
        <v>1</v>
      </c>
      <c r="E155" s="17">
        <v>3</v>
      </c>
    </row>
    <row r="156" spans="1:5" ht="15.75" hidden="1" thickTop="1" x14ac:dyDescent="0.2">
      <c r="A156" s="17" t="s">
        <v>25</v>
      </c>
      <c r="B156" s="17">
        <v>4</v>
      </c>
      <c r="C156" s="17">
        <v>4</v>
      </c>
      <c r="D156" s="17">
        <v>5</v>
      </c>
      <c r="E156" s="17">
        <v>5</v>
      </c>
    </row>
    <row r="157" spans="1:5" ht="15.75" hidden="1" thickTop="1" x14ac:dyDescent="0.2">
      <c r="A157" s="17" t="s">
        <v>25</v>
      </c>
      <c r="B157" s="17">
        <v>5</v>
      </c>
      <c r="C157" s="17">
        <v>5</v>
      </c>
      <c r="D157" s="17">
        <v>5</v>
      </c>
      <c r="E157" s="17">
        <v>5</v>
      </c>
    </row>
    <row r="158" spans="1:5" ht="15.75" hidden="1" thickTop="1" x14ac:dyDescent="0.2">
      <c r="A158" s="17" t="s">
        <v>25</v>
      </c>
      <c r="B158" s="17">
        <v>5</v>
      </c>
      <c r="C158" s="17">
        <v>5</v>
      </c>
      <c r="D158" s="17">
        <v>5</v>
      </c>
      <c r="E158" s="17">
        <v>1</v>
      </c>
    </row>
    <row r="159" spans="1:5" ht="15.75" hidden="1" thickTop="1" x14ac:dyDescent="0.2">
      <c r="A159" s="17" t="s">
        <v>25</v>
      </c>
      <c r="B159" s="17">
        <v>4</v>
      </c>
      <c r="C159" s="17">
        <v>5</v>
      </c>
      <c r="D159" s="17">
        <v>5</v>
      </c>
      <c r="E159" s="17">
        <v>4</v>
      </c>
    </row>
    <row r="160" spans="1:5" ht="15.75" hidden="1" thickTop="1" x14ac:dyDescent="0.2">
      <c r="A160" s="17" t="s">
        <v>25</v>
      </c>
      <c r="B160" s="17">
        <v>3</v>
      </c>
      <c r="C160" s="17">
        <v>4</v>
      </c>
      <c r="D160" s="17">
        <v>4</v>
      </c>
      <c r="E160" s="17">
        <v>4</v>
      </c>
    </row>
    <row r="161" spans="1:5" ht="15.75" hidden="1" thickTop="1" x14ac:dyDescent="0.2">
      <c r="A161" s="17" t="s">
        <v>25</v>
      </c>
      <c r="B161" s="17">
        <v>3</v>
      </c>
      <c r="C161" s="17">
        <v>5</v>
      </c>
      <c r="D161" s="17">
        <v>3</v>
      </c>
      <c r="E161" s="17">
        <v>3</v>
      </c>
    </row>
    <row r="162" spans="1:5" ht="15.75" hidden="1" thickTop="1" x14ac:dyDescent="0.2">
      <c r="A162" s="17" t="s">
        <v>25</v>
      </c>
      <c r="B162" s="17">
        <v>4</v>
      </c>
      <c r="C162" s="17">
        <v>4</v>
      </c>
      <c r="D162" s="17">
        <v>5</v>
      </c>
      <c r="E162" s="17">
        <v>4</v>
      </c>
    </row>
    <row r="163" spans="1:5" ht="15.75" hidden="1" thickTop="1" x14ac:dyDescent="0.2">
      <c r="A163" s="17" t="s">
        <v>25</v>
      </c>
      <c r="B163" s="17">
        <v>5</v>
      </c>
      <c r="C163" s="17">
        <v>4</v>
      </c>
      <c r="D163" s="17">
        <v>5</v>
      </c>
      <c r="E163" s="17">
        <v>5</v>
      </c>
    </row>
    <row r="164" spans="1:5" ht="15.75" hidden="1" thickTop="1" x14ac:dyDescent="0.2">
      <c r="A164" s="17" t="s">
        <v>25</v>
      </c>
      <c r="B164" s="17">
        <v>5</v>
      </c>
      <c r="C164" s="17">
        <v>3</v>
      </c>
      <c r="D164" s="17">
        <v>4</v>
      </c>
      <c r="E164" s="17">
        <v>4</v>
      </c>
    </row>
    <row r="165" spans="1:5" ht="15.75" hidden="1" thickTop="1" x14ac:dyDescent="0.2">
      <c r="A165" s="17" t="s">
        <v>25</v>
      </c>
      <c r="B165" s="17">
        <v>5</v>
      </c>
      <c r="C165" s="17">
        <v>5</v>
      </c>
      <c r="D165" s="17">
        <v>4</v>
      </c>
      <c r="E165" s="17">
        <v>5</v>
      </c>
    </row>
    <row r="166" spans="1:5" ht="15.75" hidden="1" thickTop="1" x14ac:dyDescent="0.2">
      <c r="A166" s="17" t="s">
        <v>25</v>
      </c>
      <c r="B166" s="17">
        <v>3</v>
      </c>
      <c r="C166" s="17">
        <v>4</v>
      </c>
      <c r="D166" s="17">
        <v>4</v>
      </c>
      <c r="E166" s="17">
        <v>4</v>
      </c>
    </row>
    <row r="167" spans="1:5" ht="15.75" hidden="1" thickTop="1" x14ac:dyDescent="0.2">
      <c r="A167" s="17" t="s">
        <v>25</v>
      </c>
      <c r="B167" s="17">
        <v>4</v>
      </c>
      <c r="C167" s="17">
        <v>5</v>
      </c>
      <c r="D167" s="17">
        <v>4</v>
      </c>
      <c r="E167" s="17">
        <v>5</v>
      </c>
    </row>
    <row r="168" spans="1:5" ht="15.75" hidden="1" thickTop="1" x14ac:dyDescent="0.2">
      <c r="A168" s="17" t="s">
        <v>25</v>
      </c>
      <c r="B168" s="17">
        <v>4</v>
      </c>
      <c r="C168" s="17">
        <v>5</v>
      </c>
      <c r="D168" s="17">
        <v>4</v>
      </c>
      <c r="E168" s="17">
        <v>4</v>
      </c>
    </row>
    <row r="169" spans="1:5" ht="15.75" hidden="1" thickTop="1" x14ac:dyDescent="0.2">
      <c r="A169" s="17" t="s">
        <v>25</v>
      </c>
      <c r="B169" s="17">
        <v>5</v>
      </c>
      <c r="C169" s="17">
        <v>4</v>
      </c>
      <c r="D169" s="17">
        <v>4</v>
      </c>
      <c r="E169" s="17">
        <v>5</v>
      </c>
    </row>
    <row r="170" spans="1:5" ht="15.75" hidden="1" thickTop="1" x14ac:dyDescent="0.2">
      <c r="A170" s="17" t="s">
        <v>25</v>
      </c>
      <c r="B170" s="17">
        <v>4</v>
      </c>
      <c r="C170" s="17">
        <v>5</v>
      </c>
      <c r="D170" s="17">
        <v>4</v>
      </c>
      <c r="E170" s="17">
        <v>4</v>
      </c>
    </row>
    <row r="171" spans="1:5" ht="15.75" hidden="1" thickTop="1" x14ac:dyDescent="0.2">
      <c r="A171" s="17" t="s">
        <v>25</v>
      </c>
      <c r="B171" s="17">
        <v>3</v>
      </c>
      <c r="C171" s="17">
        <v>5</v>
      </c>
      <c r="D171" s="17">
        <v>3</v>
      </c>
      <c r="E171" s="17">
        <v>4</v>
      </c>
    </row>
    <row r="172" spans="1:5" ht="15.75" hidden="1" thickTop="1" x14ac:dyDescent="0.2">
      <c r="A172" s="17" t="s">
        <v>25</v>
      </c>
      <c r="B172" s="17">
        <v>4</v>
      </c>
      <c r="C172" s="17">
        <v>4</v>
      </c>
      <c r="D172" s="17">
        <v>4</v>
      </c>
      <c r="E172" s="17">
        <v>2</v>
      </c>
    </row>
    <row r="173" spans="1:5" ht="15.75" hidden="1" thickTop="1" x14ac:dyDescent="0.2">
      <c r="A173" s="17" t="s">
        <v>25</v>
      </c>
      <c r="B173" s="17">
        <v>5</v>
      </c>
      <c r="C173" s="17">
        <v>5</v>
      </c>
      <c r="D173" s="17">
        <v>3</v>
      </c>
      <c r="E173" s="17">
        <v>4</v>
      </c>
    </row>
    <row r="174" spans="1:5" ht="15.75" hidden="1" thickTop="1" x14ac:dyDescent="0.2">
      <c r="A174" s="17" t="s">
        <v>25</v>
      </c>
      <c r="B174" s="17">
        <v>5</v>
      </c>
      <c r="C174" s="17">
        <v>3</v>
      </c>
      <c r="D174" s="17">
        <v>4</v>
      </c>
      <c r="E174" s="17">
        <v>5</v>
      </c>
    </row>
    <row r="175" spans="1:5" ht="15.75" hidden="1" thickTop="1" x14ac:dyDescent="0.2">
      <c r="A175" s="17" t="s">
        <v>25</v>
      </c>
      <c r="B175" s="17">
        <v>4</v>
      </c>
      <c r="C175" s="17">
        <v>5</v>
      </c>
      <c r="D175" s="17">
        <v>2</v>
      </c>
      <c r="E175" s="17">
        <v>4</v>
      </c>
    </row>
    <row r="176" spans="1:5" ht="15.75" hidden="1" thickTop="1" x14ac:dyDescent="0.2">
      <c r="A176" s="17" t="s">
        <v>25</v>
      </c>
      <c r="B176" s="17">
        <v>4</v>
      </c>
      <c r="C176" s="17">
        <v>3</v>
      </c>
      <c r="D176" s="17">
        <v>4</v>
      </c>
      <c r="E176" s="17">
        <v>4</v>
      </c>
    </row>
    <row r="177" spans="1:5" ht="15.75" hidden="1" thickTop="1" x14ac:dyDescent="0.2">
      <c r="A177" s="17" t="s">
        <v>25</v>
      </c>
      <c r="B177" s="17">
        <v>5</v>
      </c>
      <c r="C177" s="17">
        <v>4</v>
      </c>
      <c r="D177" s="17">
        <v>3</v>
      </c>
      <c r="E177" s="17">
        <v>3</v>
      </c>
    </row>
    <row r="178" spans="1:5" ht="15.75" hidden="1" thickTop="1" x14ac:dyDescent="0.2">
      <c r="A178" s="17" t="s">
        <v>25</v>
      </c>
      <c r="B178" s="17">
        <v>2</v>
      </c>
      <c r="C178" s="17">
        <v>4</v>
      </c>
      <c r="D178" s="17">
        <v>4</v>
      </c>
      <c r="E178" s="17">
        <v>4</v>
      </c>
    </row>
    <row r="179" spans="1:5" ht="15.75" hidden="1" thickTop="1" x14ac:dyDescent="0.2">
      <c r="A179" s="17" t="s">
        <v>25</v>
      </c>
      <c r="B179" s="17">
        <v>5</v>
      </c>
      <c r="C179" s="17">
        <v>4</v>
      </c>
      <c r="D179" s="17">
        <v>5</v>
      </c>
      <c r="E179" s="17">
        <v>4</v>
      </c>
    </row>
    <row r="180" spans="1:5" ht="15.75" hidden="1" thickTop="1" x14ac:dyDescent="0.2">
      <c r="A180" s="17" t="s">
        <v>25</v>
      </c>
      <c r="B180" s="17">
        <v>4</v>
      </c>
      <c r="C180" s="17">
        <v>5</v>
      </c>
      <c r="D180" s="17">
        <v>4</v>
      </c>
      <c r="E180" s="17">
        <v>3</v>
      </c>
    </row>
    <row r="181" spans="1:5" ht="15.75" hidden="1" thickTop="1" x14ac:dyDescent="0.2">
      <c r="A181" s="17" t="s">
        <v>25</v>
      </c>
      <c r="B181" s="17">
        <v>5</v>
      </c>
      <c r="C181" s="17">
        <v>4</v>
      </c>
      <c r="D181" s="17">
        <v>1</v>
      </c>
      <c r="E181" s="17">
        <v>5</v>
      </c>
    </row>
    <row r="182" spans="1:5" ht="15.75" thickTop="1" x14ac:dyDescent="0.2">
      <c r="A182" s="17" t="s">
        <v>26</v>
      </c>
      <c r="B182" s="17">
        <v>5</v>
      </c>
      <c r="C182" s="17">
        <v>4</v>
      </c>
      <c r="D182" s="17">
        <v>4</v>
      </c>
      <c r="E182" s="17">
        <v>5</v>
      </c>
    </row>
    <row r="183" spans="1:5" x14ac:dyDescent="0.2">
      <c r="A183" s="17" t="s">
        <v>26</v>
      </c>
      <c r="B183" s="17">
        <v>5</v>
      </c>
      <c r="C183" s="17">
        <v>5</v>
      </c>
      <c r="D183" s="17">
        <v>5</v>
      </c>
      <c r="E183" s="17">
        <v>5</v>
      </c>
    </row>
    <row r="184" spans="1:5" x14ac:dyDescent="0.2">
      <c r="A184" s="17" t="s">
        <v>26</v>
      </c>
      <c r="B184" s="17">
        <v>4</v>
      </c>
      <c r="C184" s="17">
        <v>4</v>
      </c>
      <c r="D184" s="17">
        <v>4</v>
      </c>
      <c r="E184" s="17">
        <v>4</v>
      </c>
    </row>
    <row r="185" spans="1:5" x14ac:dyDescent="0.2">
      <c r="A185" s="17" t="s">
        <v>26</v>
      </c>
      <c r="B185" s="17">
        <v>4</v>
      </c>
      <c r="C185" s="17">
        <v>3</v>
      </c>
      <c r="D185" s="17">
        <v>4</v>
      </c>
      <c r="E185" s="17">
        <v>4</v>
      </c>
    </row>
    <row r="186" spans="1:5" x14ac:dyDescent="0.2">
      <c r="A186" s="17" t="s">
        <v>26</v>
      </c>
      <c r="B186" s="17">
        <v>5</v>
      </c>
      <c r="C186" s="17">
        <v>4</v>
      </c>
      <c r="D186" s="17">
        <v>5</v>
      </c>
      <c r="E186" s="17">
        <v>4</v>
      </c>
    </row>
    <row r="187" spans="1:5" x14ac:dyDescent="0.2">
      <c r="A187" s="17" t="s">
        <v>26</v>
      </c>
      <c r="B187" s="17">
        <v>4</v>
      </c>
      <c r="C187" s="17">
        <v>4</v>
      </c>
      <c r="D187" s="17">
        <v>4</v>
      </c>
      <c r="E187" s="17">
        <v>4</v>
      </c>
    </row>
    <row r="188" spans="1:5" x14ac:dyDescent="0.2">
      <c r="A188" s="17" t="s">
        <v>26</v>
      </c>
      <c r="B188" s="17">
        <v>5</v>
      </c>
      <c r="C188" s="17">
        <v>5</v>
      </c>
      <c r="D188" s="17">
        <v>4</v>
      </c>
      <c r="E188" s="17">
        <v>5</v>
      </c>
    </row>
    <row r="189" spans="1:5" x14ac:dyDescent="0.2">
      <c r="A189" s="17" t="s">
        <v>26</v>
      </c>
      <c r="B189" s="17">
        <v>4</v>
      </c>
      <c r="C189" s="17">
        <v>2</v>
      </c>
      <c r="D189" s="17">
        <v>3</v>
      </c>
      <c r="E189" s="17">
        <v>3</v>
      </c>
    </row>
    <row r="190" spans="1:5" x14ac:dyDescent="0.2">
      <c r="A190" s="17" t="s">
        <v>26</v>
      </c>
      <c r="B190" s="17">
        <v>3</v>
      </c>
      <c r="C190" s="17">
        <v>4</v>
      </c>
      <c r="D190" s="17">
        <v>4</v>
      </c>
      <c r="E190" s="17">
        <v>4</v>
      </c>
    </row>
    <row r="191" spans="1:5" x14ac:dyDescent="0.2">
      <c r="A191" s="17" t="s">
        <v>26</v>
      </c>
      <c r="B191" s="17">
        <v>5</v>
      </c>
      <c r="C191" s="17">
        <v>4</v>
      </c>
      <c r="D191" s="17">
        <v>4</v>
      </c>
      <c r="E191" s="17">
        <v>5</v>
      </c>
    </row>
    <row r="192" spans="1:5" hidden="1" x14ac:dyDescent="0.2">
      <c r="A192" s="17" t="s">
        <v>15</v>
      </c>
      <c r="B192" s="17">
        <v>5</v>
      </c>
      <c r="C192" s="17">
        <v>5</v>
      </c>
      <c r="D192" s="17">
        <v>4</v>
      </c>
      <c r="E192" s="17">
        <v>4</v>
      </c>
    </row>
    <row r="193" spans="1:5" hidden="1" x14ac:dyDescent="0.2">
      <c r="A193" s="17" t="s">
        <v>15</v>
      </c>
      <c r="B193" s="17">
        <v>5</v>
      </c>
      <c r="C193" s="17">
        <v>5</v>
      </c>
      <c r="D193" s="17">
        <v>4</v>
      </c>
      <c r="E193" s="17">
        <v>3</v>
      </c>
    </row>
    <row r="194" spans="1:5" hidden="1" x14ac:dyDescent="0.2">
      <c r="A194" s="17" t="s">
        <v>15</v>
      </c>
      <c r="B194" s="17">
        <v>4</v>
      </c>
      <c r="C194" s="17">
        <v>4</v>
      </c>
      <c r="D194" s="17">
        <v>3</v>
      </c>
      <c r="E194" s="17">
        <v>3</v>
      </c>
    </row>
    <row r="195" spans="1:5" hidden="1" x14ac:dyDescent="0.2">
      <c r="A195" s="17" t="s">
        <v>15</v>
      </c>
      <c r="B195" s="17">
        <v>4</v>
      </c>
      <c r="C195" s="17">
        <v>4</v>
      </c>
      <c r="D195" s="17">
        <v>3</v>
      </c>
      <c r="E195" s="17">
        <v>3</v>
      </c>
    </row>
    <row r="196" spans="1:5" hidden="1" x14ac:dyDescent="0.2">
      <c r="A196" s="17" t="s">
        <v>15</v>
      </c>
      <c r="B196" s="17">
        <v>4</v>
      </c>
      <c r="C196" s="17">
        <v>4</v>
      </c>
      <c r="D196" s="17">
        <v>3</v>
      </c>
      <c r="E196" s="17">
        <v>2</v>
      </c>
    </row>
    <row r="197" spans="1:5" hidden="1" x14ac:dyDescent="0.2">
      <c r="A197" s="17" t="s">
        <v>15</v>
      </c>
      <c r="B197" s="17">
        <v>4</v>
      </c>
      <c r="C197" s="17">
        <v>4</v>
      </c>
      <c r="D197" s="17">
        <v>3</v>
      </c>
      <c r="E197" s="17">
        <v>3</v>
      </c>
    </row>
    <row r="198" spans="1:5" hidden="1" x14ac:dyDescent="0.2">
      <c r="A198" s="17" t="s">
        <v>15</v>
      </c>
      <c r="B198" s="17">
        <v>4</v>
      </c>
      <c r="C198" s="17">
        <v>4</v>
      </c>
      <c r="D198" s="17">
        <v>3</v>
      </c>
      <c r="E198" s="17">
        <v>2</v>
      </c>
    </row>
    <row r="199" spans="1:5" hidden="1" x14ac:dyDescent="0.2">
      <c r="A199" s="17" t="s">
        <v>15</v>
      </c>
      <c r="B199" s="17">
        <v>3</v>
      </c>
      <c r="C199" s="17">
        <v>4</v>
      </c>
      <c r="D199" s="17">
        <v>3</v>
      </c>
      <c r="E199" s="17">
        <v>3</v>
      </c>
    </row>
    <row r="200" spans="1:5" hidden="1" x14ac:dyDescent="0.2">
      <c r="A200" s="17" t="s">
        <v>15</v>
      </c>
      <c r="B200" s="17">
        <v>3</v>
      </c>
      <c r="C200" s="17">
        <v>4</v>
      </c>
      <c r="D200" s="17">
        <v>2</v>
      </c>
      <c r="E200" s="17">
        <v>2</v>
      </c>
    </row>
    <row r="201" spans="1:5" hidden="1" x14ac:dyDescent="0.2">
      <c r="A201" s="17" t="s">
        <v>15</v>
      </c>
      <c r="B201" s="17">
        <v>2</v>
      </c>
      <c r="C201" s="17">
        <v>3</v>
      </c>
      <c r="D201" s="17">
        <v>2</v>
      </c>
      <c r="E201" s="17">
        <v>1</v>
      </c>
    </row>
    <row r="203" spans="1:5" x14ac:dyDescent="0.2">
      <c r="A203" s="17" t="s">
        <v>16</v>
      </c>
    </row>
    <row r="204" spans="1:5" x14ac:dyDescent="0.2">
      <c r="A204" s="17" t="s">
        <v>10</v>
      </c>
      <c r="B204" s="42">
        <f>AVERAGE(CustSurvey2014[[#All],[Quality]])</f>
        <v>4.3949999999999996</v>
      </c>
      <c r="C204" s="42">
        <f>AVERAGE(CustSurvey2014[[#All],[Ease of Use]])</f>
        <v>4.165</v>
      </c>
      <c r="D204" s="42">
        <f>AVERAGE(CustSurvey2014[[#All],[Price]])</f>
        <v>3.67</v>
      </c>
      <c r="E204" s="42">
        <f>AVERAGE(CustSurvey2014[[#All],[Service]])</f>
        <v>4.1399999999999997</v>
      </c>
    </row>
    <row r="205" spans="1:5" x14ac:dyDescent="0.2">
      <c r="A205" s="17" t="s">
        <v>27</v>
      </c>
      <c r="B205" s="42">
        <f>MEDIAN(CustSurvey2014[[#All],[Quality]])</f>
        <v>5</v>
      </c>
      <c r="C205" s="42">
        <f>MEDIAN(CustSurvey2014[[#All],[Ease of Use]])</f>
        <v>4</v>
      </c>
      <c r="D205" s="42">
        <f>MEDIAN(CustSurvey2014[[#All],[Price]])</f>
        <v>4</v>
      </c>
      <c r="E205" s="42">
        <f>MEDIAN(CustSurvey2014[[#All],[Service]])</f>
        <v>4</v>
      </c>
    </row>
    <row r="206" spans="1:5" x14ac:dyDescent="0.2">
      <c r="A206" s="17" t="s">
        <v>28</v>
      </c>
      <c r="B206" s="42">
        <f>_xlfn.MODE.SNGL(CustSurvey2014[[#All],[Quality]])</f>
        <v>5</v>
      </c>
      <c r="C206" s="42">
        <f>_xlfn.MODE.SNGL(CustSurvey2014[[#All],[Ease of Use]])</f>
        <v>4</v>
      </c>
      <c r="D206" s="42">
        <f>_xlfn.MODE.SNGL(CustSurvey2014[[#All],[Price]])</f>
        <v>4</v>
      </c>
      <c r="E206" s="42">
        <f>_xlfn.MODE.SNGL(CustSurvey2014[[#All],[Service]])</f>
        <v>4</v>
      </c>
    </row>
    <row r="207" spans="1:5" x14ac:dyDescent="0.2">
      <c r="A207" s="17" t="s">
        <v>29</v>
      </c>
      <c r="B207" s="42">
        <f>_xlfn.STDEV.P(CustSurvey2014[[#All],[Quality]])</f>
        <v>0.76090406754071171</v>
      </c>
      <c r="C207" s="42">
        <f>_xlfn.STDEV.P(CustSurvey2014[[#All],[Ease of Use]])</f>
        <v>0.77959925602837765</v>
      </c>
      <c r="D207" s="42">
        <f>_xlfn.STDEV.P(CustSurvey2014[[#All],[Price]])</f>
        <v>1.0635318518972527</v>
      </c>
      <c r="E207" s="42">
        <f>_xlfn.STDEV.P(CustSurvey2014[[#All],[Service]])</f>
        <v>0.88904443083571472</v>
      </c>
    </row>
    <row r="208" spans="1:5" x14ac:dyDescent="0.2">
      <c r="B208" s="42"/>
      <c r="C208" s="42"/>
      <c r="D208" s="42"/>
      <c r="E208" s="42"/>
    </row>
    <row r="209" spans="1:5" x14ac:dyDescent="0.2">
      <c r="A209" s="17" t="s">
        <v>23</v>
      </c>
      <c r="B209" s="42"/>
      <c r="C209" s="42"/>
      <c r="D209" s="42"/>
      <c r="E209" s="42"/>
    </row>
    <row r="210" spans="1:5" x14ac:dyDescent="0.2">
      <c r="A210" s="17" t="s">
        <v>10</v>
      </c>
      <c r="B210" s="42" cm="1">
        <f t="array" ref="B210">AVERAGE(IF(CustSurvey2014[[#All],[Region]] = A209, CustSurvey2014[[#All],[Quality]]))</f>
        <v>4.5999999999999996</v>
      </c>
      <c r="C210" s="42" cm="1">
        <f t="array" ref="C210">AVERAGE(IF(CustSurvey2014[[#All],[Region]] = A209, CustSurvey2014[[#All],[Ease of Use]]))</f>
        <v>4.2699999999999996</v>
      </c>
      <c r="D210" s="42" cm="1">
        <f t="array" ref="D210">AVERAGE(IF(CustSurvey2014[[#All],[Region]] = A209, CustSurvey2014[[#All],[Price]]))</f>
        <v>3.71</v>
      </c>
      <c r="E210" s="42" cm="1">
        <f t="array" ref="E210">AVERAGE(IF(CustSurvey2014[[#All],[Region]] = A209, CustSurvey2014[[#All],[Service]]))</f>
        <v>4.3099999999999996</v>
      </c>
    </row>
    <row r="211" spans="1:5" x14ac:dyDescent="0.2">
      <c r="A211" s="17" t="s">
        <v>27</v>
      </c>
      <c r="B211" s="42" cm="1">
        <f t="array" ref="B211">MEDIAN(IF(CustSurvey2014[[#All],[Region]] = A209, CustSurvey2014[[#All],[Quality]]))</f>
        <v>5</v>
      </c>
      <c r="C211" s="42" cm="1">
        <f t="array" ref="C211">MEDIAN(IF(CustSurvey2014[[#All],[Region]] = A209, CustSurvey2014[[#All],[Ease of Use]]))</f>
        <v>4</v>
      </c>
      <c r="D211" s="42" cm="1">
        <f t="array" ref="D211">MEDIAN(IF(CustSurvey2014[[#All],[Region]] = A209, CustSurvey2014[[#All],[Price]]))</f>
        <v>4</v>
      </c>
      <c r="E211" s="42" cm="1">
        <f t="array" ref="E211">MEDIAN(IF(CustSurvey2014[[#All],[Region]] = A209, CustSurvey2014[[#All],[Service]]))</f>
        <v>4</v>
      </c>
    </row>
    <row r="212" spans="1:5" x14ac:dyDescent="0.2">
      <c r="A212" s="17" t="s">
        <v>28</v>
      </c>
      <c r="B212" s="42" cm="1">
        <f t="array" ref="B212">_xlfn.MODE.SNGL(IF(CustSurvey2014[[#All],[Region]] = A209, CustSurvey2014[[#All],[Quality]]))</f>
        <v>5</v>
      </c>
      <c r="C212" s="42" cm="1">
        <f t="array" ref="C212">_xlfn.MODE.SNGL(IF(CustSurvey2014[[#All],[Region]] = A209, CustSurvey2014[[#All],[Ease of Use]]))</f>
        <v>4</v>
      </c>
      <c r="D212" s="42" cm="1">
        <f t="array" ref="D212">_xlfn.MODE.SNGL(IF(CustSurvey2014[[#All],[Region]] = A209, CustSurvey2014[[#All],[Price]]))</f>
        <v>4</v>
      </c>
      <c r="E212" s="42" cm="1">
        <f t="array" ref="E212">_xlfn.MODE.SNGL(IF(CustSurvey2014[[#All],[Region]] = A209, CustSurvey2014[[#All],[Service]]))</f>
        <v>5</v>
      </c>
    </row>
    <row r="213" spans="1:5" x14ac:dyDescent="0.2">
      <c r="A213" s="17" t="s">
        <v>29</v>
      </c>
      <c r="B213" s="42" cm="1">
        <f t="array" ref="B213">_xlfn.STDEV.P(IF(CustSurvey2014[[#All],[Region]] = A209, CustSurvey2014[[#All],[Quality]]))</f>
        <v>0.64807406984078597</v>
      </c>
      <c r="C213" s="42" cm="1">
        <f t="array" ref="C213">_xlfn.STDEV.P(IF(CustSurvey2014[[#All],[Region]] = A209, CustSurvey2014[[#All],[Ease of Use]]))</f>
        <v>0.82286086308682838</v>
      </c>
      <c r="D213" s="42" cm="1">
        <f t="array" ref="D213">_xlfn.STDEV.P(IF(CustSurvey2014[[#All],[Region]] = A209, CustSurvey2014[[#All],[Price]]))</f>
        <v>1.098134782255803</v>
      </c>
      <c r="E213" s="42" cm="1">
        <f t="array" ref="E213">_xlfn.STDEV.P(IF(CustSurvey2014[[#All],[Region]] = A209, CustSurvey2014[[#All],[Service]]))</f>
        <v>0.7442445834535848</v>
      </c>
    </row>
    <row r="214" spans="1:5" x14ac:dyDescent="0.2">
      <c r="B214" s="42"/>
      <c r="C214" s="42"/>
      <c r="D214" s="42"/>
      <c r="E214" s="42"/>
    </row>
    <row r="215" spans="1:5" x14ac:dyDescent="0.2">
      <c r="A215" s="17" t="s">
        <v>24</v>
      </c>
      <c r="B215" s="42"/>
      <c r="C215" s="42"/>
      <c r="D215" s="42"/>
      <c r="E215" s="42"/>
    </row>
    <row r="216" spans="1:5" x14ac:dyDescent="0.2">
      <c r="A216" s="17" t="s">
        <v>10</v>
      </c>
      <c r="B216" s="42" cm="1">
        <f t="array" ref="B216">AVERAGE(IF(CustSurvey2014[[#All],[Region]] = A215, CustSurvey2014[[#All],[Quality]]))</f>
        <v>4.28</v>
      </c>
      <c r="C216" s="42" cm="1">
        <f t="array" ref="C216">AVERAGE(IF(CustSurvey2014[[#All],[Region]] = A215, CustSurvey2014[[#All],[Ease of Use]]))</f>
        <v>3.92</v>
      </c>
      <c r="D216" s="42" cm="1">
        <f t="array" ref="D216">AVERAGE(IF(CustSurvey2014[[#All],[Region]] = A215, CustSurvey2014[[#All],[Price]]))</f>
        <v>3.5</v>
      </c>
      <c r="E216" s="42" cm="1">
        <f t="array" ref="E216">AVERAGE(IF(CustSurvey2014[[#All],[Region]] = A215, CustSurvey2014[[#All],[Service]]))</f>
        <v>4.24</v>
      </c>
    </row>
    <row r="217" spans="1:5" x14ac:dyDescent="0.2">
      <c r="A217" s="17" t="s">
        <v>27</v>
      </c>
      <c r="B217" s="42" cm="1">
        <f t="array" ref="B217">MEDIAN(IF(CustSurvey2014[[#All],[Region]] = A215, CustSurvey2014[[#All],[Quality]]))</f>
        <v>4</v>
      </c>
      <c r="C217" s="42" cm="1">
        <f t="array" ref="C217">MEDIAN(IF(CustSurvey2014[[#All],[Region]] = A215, CustSurvey2014[[#All],[Ease of Use]]))</f>
        <v>4</v>
      </c>
      <c r="D217" s="42" cm="1">
        <f t="array" ref="D217">MEDIAN(IF(CustSurvey2014[[#All],[Region]] = A215, CustSurvey2014[[#All],[Price]]))</f>
        <v>4</v>
      </c>
      <c r="E217" s="42" cm="1">
        <f t="array" ref="E217">MEDIAN(IF(CustSurvey2014[[#All],[Region]] = A215, CustSurvey2014[[#All],[Service]]))</f>
        <v>4</v>
      </c>
    </row>
    <row r="218" spans="1:5" x14ac:dyDescent="0.2">
      <c r="A218" s="17" t="s">
        <v>28</v>
      </c>
      <c r="B218" s="42" cm="1">
        <f t="array" ref="B218">_xlfn.MODE.SNGL(IF(CustSurvey2014[[#All],[Region]] = A215, CustSurvey2014[[#All],[Quality]]))</f>
        <v>4</v>
      </c>
      <c r="C218" s="42" cm="1">
        <f t="array" ref="C218">_xlfn.MODE.SNGL(IF(CustSurvey2014[[#All],[Region]] = A215, CustSurvey2014[[#All],[Ease of Use]]))</f>
        <v>4</v>
      </c>
      <c r="D218" s="42" cm="1">
        <f t="array" ref="D218">_xlfn.MODE.SNGL(IF(CustSurvey2014[[#All],[Region]] = A215, CustSurvey2014[[#All],[Price]]))</f>
        <v>4</v>
      </c>
      <c r="E218" s="42" cm="1">
        <f t="array" ref="E218">_xlfn.MODE.SNGL(IF(CustSurvey2014[[#All],[Region]] = A215, CustSurvey2014[[#All],[Service]]))</f>
        <v>4</v>
      </c>
    </row>
    <row r="219" spans="1:5" x14ac:dyDescent="0.2">
      <c r="A219" s="17" t="s">
        <v>29</v>
      </c>
      <c r="B219" s="42" cm="1">
        <f t="array" ref="B219">_xlfn.STDEV.P(IF(CustSurvey2014[[#All],[Region]] = A215, CustSurvey2014[[#All],[Quality]]))</f>
        <v>0.77562877718661261</v>
      </c>
      <c r="C219" s="42" cm="1">
        <f t="array" ref="C219">_xlfn.STDEV.P(IF(CustSurvey2014[[#All],[Region]] = A215, CustSurvey2014[[#All],[Ease of Use]]))</f>
        <v>0.71665891468675669</v>
      </c>
      <c r="D219" s="42" cm="1">
        <f t="array" ref="D219">_xlfn.STDEV.P(IF(CustSurvey2014[[#All],[Region]] = A215, CustSurvey2014[[#All],[Price]]))</f>
        <v>1.0440306508910551</v>
      </c>
      <c r="E219" s="42" cm="1">
        <f t="array" ref="E219">_xlfn.STDEV.P(IF(CustSurvey2014[[#All],[Region]] = A215, CustSurvey2014[[#All],[Service]]))</f>
        <v>0.81387959797503218</v>
      </c>
    </row>
    <row r="220" spans="1:5" x14ac:dyDescent="0.2">
      <c r="B220" s="42"/>
      <c r="C220" s="42"/>
      <c r="D220" s="42"/>
      <c r="E220" s="42"/>
    </row>
    <row r="221" spans="1:5" x14ac:dyDescent="0.2">
      <c r="A221" s="17" t="s">
        <v>25</v>
      </c>
      <c r="B221" s="42"/>
      <c r="C221" s="42"/>
      <c r="D221" s="42"/>
      <c r="E221" s="42"/>
    </row>
    <row r="222" spans="1:5" x14ac:dyDescent="0.2">
      <c r="A222" s="17" t="s">
        <v>10</v>
      </c>
      <c r="B222" s="42" cm="1">
        <f t="array" ref="B222">AVERAGE(IF(CustSurvey2014[[#All],[Region]] = A221, CustSurvey2014[[#All],[Quality]]))</f>
        <v>4.0999999999999996</v>
      </c>
      <c r="C222" s="42" cm="1">
        <f t="array" ref="C222">AVERAGE(IF(CustSurvey2014[[#All],[Region]] = A221, CustSurvey2014[[#All],[Ease of Use]]))</f>
        <v>4.333333333333333</v>
      </c>
      <c r="D222" s="42" cm="1">
        <f t="array" ref="D222">AVERAGE(IF(CustSurvey2014[[#All],[Region]] = A221, CustSurvey2014[[#All],[Price]]))</f>
        <v>3.9</v>
      </c>
      <c r="E222" s="42" cm="1">
        <f t="array" ref="E222">AVERAGE(IF(CustSurvey2014[[#All],[Region]] = A221, CustSurvey2014[[#All],[Service]]))</f>
        <v>3.8666666666666667</v>
      </c>
    </row>
    <row r="223" spans="1:5" x14ac:dyDescent="0.2">
      <c r="A223" s="17" t="s">
        <v>27</v>
      </c>
      <c r="B223" s="42" cm="1">
        <f t="array" ref="B223">MEDIAN(IF(CustSurvey2014[[#All],[Region]] = A221, CustSurvey2014[[#All],[Quality]]))</f>
        <v>4</v>
      </c>
      <c r="C223" s="42" cm="1">
        <f t="array" ref="C223">MEDIAN(IF(CustSurvey2014[[#All],[Region]] = A221, CustSurvey2014[[#All],[Ease of Use]]))</f>
        <v>4</v>
      </c>
      <c r="D223" s="42" cm="1">
        <f t="array" ref="D223">MEDIAN(IF(CustSurvey2014[[#All],[Region]] = A221, CustSurvey2014[[#All],[Price]]))</f>
        <v>4</v>
      </c>
      <c r="E223" s="42" cm="1">
        <f t="array" ref="E223">MEDIAN(IF(CustSurvey2014[[#All],[Region]] = A221, CustSurvey2014[[#All],[Service]]))</f>
        <v>4</v>
      </c>
    </row>
    <row r="224" spans="1:5" x14ac:dyDescent="0.2">
      <c r="A224" s="17" t="s">
        <v>28</v>
      </c>
      <c r="B224" s="42" cm="1">
        <f t="array" ref="B224">_xlfn.MODE.SNGL(IF(CustSurvey2014[[#All],[Region]] = A221, CustSurvey2014[[#All],[Quality]]))</f>
        <v>4</v>
      </c>
      <c r="C224" s="42" cm="1">
        <f t="array" ref="C224">_xlfn.MODE.SNGL(IF(CustSurvey2014[[#All],[Region]] = A221, CustSurvey2014[[#All],[Ease of Use]]))</f>
        <v>4</v>
      </c>
      <c r="D224" s="42" cm="1">
        <f t="array" ref="D224">_xlfn.MODE.SNGL(IF(CustSurvey2014[[#All],[Region]] = A221, CustSurvey2014[[#All],[Price]]))</f>
        <v>4</v>
      </c>
      <c r="E224" s="42" cm="1">
        <f t="array" ref="E224">_xlfn.MODE.SNGL(IF(CustSurvey2014[[#All],[Region]] = A221, CustSurvey2014[[#All],[Service]]))</f>
        <v>4</v>
      </c>
    </row>
    <row r="225" spans="1:5" x14ac:dyDescent="0.2">
      <c r="A225" s="17" t="s">
        <v>29</v>
      </c>
      <c r="B225" s="42" cm="1">
        <f t="array" ref="B225">_xlfn.STDEV.P(IF(CustSurvey2014[[#All],[Region]] = A221, CustSurvey2014[[#All],[Quality]]))</f>
        <v>0.83066238629180744</v>
      </c>
      <c r="C225" s="42" cm="1">
        <f t="array" ref="C225">_xlfn.STDEV.P(IF(CustSurvey2014[[#All],[Region]] = A221, CustSurvey2014[[#All],[Ease of Use]]))</f>
        <v>0.64978628965393093</v>
      </c>
      <c r="D225" s="42" cm="1">
        <f t="array" ref="D225">_xlfn.STDEV.P(IF(CustSurvey2014[[#All],[Region]] = A221, CustSurvey2014[[#All],[Price]]))</f>
        <v>1.0754843869934452</v>
      </c>
      <c r="E225" s="42" cm="1">
        <f t="array" ref="E225">_xlfn.STDEV.P(IF(CustSurvey2014[[#All],[Region]] = A221, CustSurvey2014[[#All],[Service]]))</f>
        <v>0.99107124982123374</v>
      </c>
    </row>
    <row r="226" spans="1:5" x14ac:dyDescent="0.2">
      <c r="B226" s="42"/>
      <c r="C226" s="42"/>
      <c r="D226" s="42"/>
      <c r="E226" s="42"/>
    </row>
    <row r="227" spans="1:5" x14ac:dyDescent="0.2">
      <c r="A227" s="17" t="s">
        <v>26</v>
      </c>
      <c r="B227" s="42"/>
      <c r="C227" s="42"/>
      <c r="D227" s="42"/>
      <c r="E227" s="42"/>
    </row>
    <row r="228" spans="1:5" x14ac:dyDescent="0.2">
      <c r="A228" s="17" t="s">
        <v>10</v>
      </c>
      <c r="B228" s="42" cm="1">
        <f t="array" ref="B228">AVERAGE(IF(CustSurvey2014[[#All],[Region]] = A227, CustSurvey2014[[#All],[Quality]]))</f>
        <v>4.4000000000000004</v>
      </c>
      <c r="C228" s="42" cm="1">
        <f t="array" ref="C228">AVERAGE(IF(CustSurvey2014[[#All],[Region]] = A227, CustSurvey2014[[#All],[Ease of Use]]))</f>
        <v>3.9</v>
      </c>
      <c r="D228" s="42" cm="1">
        <f t="array" ref="D228">AVERAGE(IF(CustSurvey2014[[#All],[Region]] = A227, CustSurvey2014[[#All],[Price]]))</f>
        <v>4.0999999999999996</v>
      </c>
      <c r="E228" s="42" cm="1">
        <f t="array" ref="E228">AVERAGE(IF(CustSurvey2014[[#All],[Region]] = A227, CustSurvey2014[[#All],[Service]]))</f>
        <v>4.3</v>
      </c>
    </row>
    <row r="229" spans="1:5" x14ac:dyDescent="0.2">
      <c r="A229" s="17" t="s">
        <v>27</v>
      </c>
      <c r="B229" s="42" cm="1">
        <f t="array" ref="B229">MEDIAN(IF(CustSurvey2014[[#All],[Region]] = A227, CustSurvey2014[[#All],[Quality]]))</f>
        <v>4.5</v>
      </c>
      <c r="C229" s="42" cm="1">
        <f t="array" ref="C229">MEDIAN(IF(CustSurvey2014[[#All],[Region]] = A227, CustSurvey2014[[#All],[Ease of Use]]))</f>
        <v>4</v>
      </c>
      <c r="D229" s="42" cm="1">
        <f t="array" ref="D229">MEDIAN(IF(CustSurvey2014[[#All],[Region]] = A227, CustSurvey2014[[#All],[Price]]))</f>
        <v>4</v>
      </c>
      <c r="E229" s="42" cm="1">
        <f t="array" ref="E229">MEDIAN(IF(CustSurvey2014[[#All],[Region]] = A227, CustSurvey2014[[#All],[Service]]))</f>
        <v>4</v>
      </c>
    </row>
    <row r="230" spans="1:5" x14ac:dyDescent="0.2">
      <c r="A230" s="17" t="s">
        <v>28</v>
      </c>
      <c r="B230" s="42" cm="1">
        <f t="array" ref="B230">_xlfn.MODE.SNGL(IF(CustSurvey2014[[#All],[Region]] = A227, CustSurvey2014[[#All],[Quality]]))</f>
        <v>5</v>
      </c>
      <c r="C230" s="42" cm="1">
        <f t="array" ref="C230">_xlfn.MODE.SNGL(IF(CustSurvey2014[[#All],[Region]] = A227, CustSurvey2014[[#All],[Ease of Use]]))</f>
        <v>4</v>
      </c>
      <c r="D230" s="42" cm="1">
        <f t="array" ref="D230">_xlfn.MODE.SNGL(IF(CustSurvey2014[[#All],[Region]] = A227, CustSurvey2014[[#All],[Price]]))</f>
        <v>4</v>
      </c>
      <c r="E230" s="42" cm="1">
        <f t="array" ref="E230">_xlfn.MODE.SNGL(IF(CustSurvey2014[[#All],[Region]] = A227, CustSurvey2014[[#All],[Service]]))</f>
        <v>4</v>
      </c>
    </row>
    <row r="231" spans="1:5" x14ac:dyDescent="0.2">
      <c r="A231" s="17" t="s">
        <v>29</v>
      </c>
      <c r="B231" s="42" cm="1">
        <f t="array" ref="B231">_xlfn.STDEV.P(IF(CustSurvey2014[[#All],[Region]] = A227, CustSurvey2014[[#All],[Quality]]))</f>
        <v>0.66332495807107994</v>
      </c>
      <c r="C231" s="42" cm="1">
        <f t="array" ref="C231">_xlfn.STDEV.P(IF(CustSurvey2014[[#All],[Region]] = A227, CustSurvey2014[[#All],[Ease of Use]]))</f>
        <v>0.83066238629180744</v>
      </c>
      <c r="D231" s="42" cm="1">
        <f t="array" ref="D231">_xlfn.STDEV.P(IF(CustSurvey2014[[#All],[Region]] = A227, CustSurvey2014[[#All],[Price]]))</f>
        <v>0.53851648071345037</v>
      </c>
      <c r="E231" s="42" cm="1">
        <f t="array" ref="E231">_xlfn.STDEV.P(IF(CustSurvey2014[[#All],[Region]] = A227, CustSurvey2014[[#All],[Service]]))</f>
        <v>0.6403124237432849</v>
      </c>
    </row>
    <row r="232" spans="1:5" x14ac:dyDescent="0.2">
      <c r="B232" s="42"/>
      <c r="C232" s="42"/>
      <c r="D232" s="42"/>
      <c r="E232" s="42"/>
    </row>
    <row r="233" spans="1:5" x14ac:dyDescent="0.2">
      <c r="A233" s="17" t="s">
        <v>15</v>
      </c>
      <c r="B233" s="42"/>
      <c r="C233" s="42"/>
      <c r="D233" s="42"/>
      <c r="E233" s="42"/>
    </row>
    <row r="234" spans="1:5" x14ac:dyDescent="0.2">
      <c r="A234" s="17" t="s">
        <v>10</v>
      </c>
      <c r="B234" s="42" cm="1">
        <f t="array" ref="B234">AVERAGE(IF(CustSurvey2014[[#All],[Region]] = A233, CustSurvey2014[[#All],[Quality]]))</f>
        <v>3.8</v>
      </c>
      <c r="C234" s="42" cm="1">
        <f t="array" ref="C234">AVERAGE(IF(CustSurvey2014[[#All],[Region]] = A233, CustSurvey2014[[#All],[Ease of Use]]))</f>
        <v>4.0999999999999996</v>
      </c>
      <c r="D234" s="42" cm="1">
        <f t="array" ref="D234">AVERAGE(IF(CustSurvey2014[[#All],[Region]] = A233, CustSurvey2014[[#All],[Price]]))</f>
        <v>3</v>
      </c>
      <c r="E234" s="42" cm="1">
        <f t="array" ref="E234">AVERAGE(IF(CustSurvey2014[[#All],[Region]] = A233, CustSurvey2014[[#All],[Service]]))</f>
        <v>2.6</v>
      </c>
    </row>
    <row r="235" spans="1:5" x14ac:dyDescent="0.2">
      <c r="A235" s="17" t="s">
        <v>27</v>
      </c>
      <c r="B235" s="42" cm="1">
        <f t="array" ref="B235">MEDIAN(IF(CustSurvey2014[[#All],[Region]] = A233, CustSurvey2014[[#All],[Quality]]))</f>
        <v>4</v>
      </c>
      <c r="C235" s="42" cm="1">
        <f t="array" ref="C235">MEDIAN(IF(CustSurvey2014[[#All],[Region]] = A233, CustSurvey2014[[#All],[Ease of Use]]))</f>
        <v>4</v>
      </c>
      <c r="D235" s="42" cm="1">
        <f t="array" ref="D235">MEDIAN(IF(CustSurvey2014[[#All],[Region]] = A233, CustSurvey2014[[#All],[Price]]))</f>
        <v>3</v>
      </c>
      <c r="E235" s="42" cm="1">
        <f t="array" ref="E235">MEDIAN(IF(CustSurvey2014[[#All],[Region]] = A233, CustSurvey2014[[#All],[Service]]))</f>
        <v>3</v>
      </c>
    </row>
    <row r="236" spans="1:5" x14ac:dyDescent="0.2">
      <c r="A236" s="17" t="s">
        <v>28</v>
      </c>
      <c r="B236" s="42" cm="1">
        <f t="array" ref="B236">_xlfn.MODE.SNGL(IF(CustSurvey2014[[#All],[Region]] = A233, CustSurvey2014[[#All],[Quality]]))</f>
        <v>4</v>
      </c>
      <c r="C236" s="42" cm="1">
        <f t="array" ref="C236">_xlfn.MODE.SNGL(IF(CustSurvey2014[[#All],[Region]] = A233, CustSurvey2014[[#All],[Ease of Use]]))</f>
        <v>4</v>
      </c>
      <c r="D236" s="42" cm="1">
        <f t="array" ref="D236">_xlfn.MODE.SNGL(IF(CustSurvey2014[[#All],[Region]] = A233, CustSurvey2014[[#All],[Price]]))</f>
        <v>3</v>
      </c>
      <c r="E236" s="42" cm="1">
        <f t="array" ref="E236">_xlfn.MODE.SNGL(IF(CustSurvey2014[[#All],[Region]] = A233, CustSurvey2014[[#All],[Service]]))</f>
        <v>3</v>
      </c>
    </row>
    <row r="237" spans="1:5" x14ac:dyDescent="0.2">
      <c r="A237" s="17" t="s">
        <v>29</v>
      </c>
      <c r="B237" s="42" cm="1">
        <f t="array" ref="B237">_xlfn.STDEV.P(IF(CustSurvey2014[[#All],[Region]] = A233, CustSurvey2014[[#All],[Quality]]))</f>
        <v>0.87177978870813466</v>
      </c>
      <c r="C237" s="42" cm="1">
        <f t="array" ref="C237">_xlfn.STDEV.P(IF(CustSurvey2014[[#All],[Region]] = A233, CustSurvey2014[[#All],[Ease of Use]]))</f>
        <v>0.53851648071345037</v>
      </c>
      <c r="D237" s="42" cm="1">
        <f t="array" ref="D237">_xlfn.STDEV.P(IF(CustSurvey2014[[#All],[Region]] = A233, CustSurvey2014[[#All],[Price]]))</f>
        <v>0.63245553203367588</v>
      </c>
      <c r="E237" s="42" cm="1">
        <f t="array" ref="E237">_xlfn.STDEV.P(IF(CustSurvey2014[[#All],[Region]] = A233, CustSurvey2014[[#All],[Service]]))</f>
        <v>0.8</v>
      </c>
    </row>
  </sheetData>
  <dataConsolidate function="stdDev"/>
  <phoneticPr fontId="0" type="noConversion"/>
  <pageMargins left="0.75" right="0.75" top="1" bottom="1" header="0.5" footer="0.5"/>
  <pageSetup scale="70" orientation="portrait" horizontalDpi="4294967292" verticalDpi="0" r:id="rId1"/>
  <headerFooter alignWithMargins="0"/>
  <drawing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326C4EDE3FAA45BDCF024F200E4D5F" ma:contentTypeVersion="8" ma:contentTypeDescription="Create a new document." ma:contentTypeScope="" ma:versionID="a8874b978f46f2c076dcd834e0276ffb">
  <xsd:schema xmlns:xsd="http://www.w3.org/2001/XMLSchema" xmlns:xs="http://www.w3.org/2001/XMLSchema" xmlns:p="http://schemas.microsoft.com/office/2006/metadata/properties" xmlns:ns3="fdedb6ed-3b9b-4bf1-8f64-d7c26c3a8347" targetNamespace="http://schemas.microsoft.com/office/2006/metadata/properties" ma:root="true" ma:fieldsID="5178c53a40bf4a81ccad105643c1b848" ns3:_="">
    <xsd:import namespace="fdedb6ed-3b9b-4bf1-8f64-d7c26c3a83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db6ed-3b9b-4bf1-8f64-d7c26c3a8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25BECF-DB4A-49CE-AC15-083728A6E2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3F7CC9-5991-4222-8591-839A09F5446C}">
  <ds:schemaRefs>
    <ds:schemaRef ds:uri="http://schemas.microsoft.com/office/2006/documentManagement/types"/>
    <ds:schemaRef ds:uri="fdedb6ed-3b9b-4bf1-8f64-d7c26c3a8347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842D1E6-EAD9-4414-828D-F5D6D391AB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edb6ed-3b9b-4bf1-8f64-d7c26c3a83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 Dealer Satisfaction</vt:lpstr>
      <vt:lpstr>End-User Satisfaction</vt:lpstr>
      <vt:lpstr>Complaints</vt:lpstr>
      <vt:lpstr>Complaints &amp; Sales</vt:lpstr>
      <vt:lpstr>Mower Unit Sales</vt:lpstr>
      <vt:lpstr>Industry Mower Total Sales</vt:lpstr>
      <vt:lpstr>Tractor Unit Sales</vt:lpstr>
      <vt:lpstr>Industry Tractor Total Sales</vt:lpstr>
      <vt:lpstr>Sheet2</vt:lpstr>
      <vt:lpstr>Unit Production Costs</vt:lpstr>
      <vt:lpstr>2014 Customer Survey</vt:lpstr>
    </vt:vector>
  </TitlesOfParts>
  <Manager/>
  <Company>TEXAS A&amp;M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MAYS COLLEGE OF BUSINESS</dc:creator>
  <cp:keywords/>
  <dc:description/>
  <cp:lastModifiedBy>JAKE OCONNOR</cp:lastModifiedBy>
  <cp:revision/>
  <dcterms:created xsi:type="dcterms:W3CDTF">1998-05-18T11:54:22Z</dcterms:created>
  <dcterms:modified xsi:type="dcterms:W3CDTF">2021-08-01T03:55:51Z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0x0101001E326C4EDE3FAA45BDCF024F200E4D5F</vt:lpwstr>
  </property>
</Properties>
</file>