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geis\Documents\Datavis\Git\Datavis_Projects\excel-challenge\"/>
    </mc:Choice>
  </mc:AlternateContent>
  <xr:revisionPtr revIDLastSave="0" documentId="13_ncr:1_{EA60954B-8BBA-4E71-8E2C-D0742F1BEE2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itial" sheetId="1" r:id="rId1"/>
    <sheet name="Category Stats" sheetId="2" r:id="rId2"/>
    <sheet name="Sub-Category Stats" sheetId="3" r:id="rId3"/>
    <sheet name="Date Stats" sheetId="4" r:id="rId4"/>
    <sheet name="Bonus1" sheetId="5" r:id="rId5"/>
    <sheet name="Bonus2" sheetId="6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6" l="1" a="1"/>
  <c r="C9" i="6" s="1"/>
  <c r="B9" i="6" a="1"/>
  <c r="B9" i="6" s="1"/>
  <c r="C8" i="6" a="1"/>
  <c r="C8" i="6" s="1"/>
  <c r="B8" i="6" a="1"/>
  <c r="B8" i="6" s="1"/>
  <c r="C7" i="6" a="1"/>
  <c r="C7" i="6" s="1"/>
  <c r="B7" i="6" a="1"/>
  <c r="B7" i="6" s="1"/>
  <c r="C6" i="6" a="1"/>
  <c r="C6" i="6" s="1"/>
  <c r="B6" i="6" a="1"/>
  <c r="B6" i="6" s="1"/>
  <c r="C5" i="6" a="1"/>
  <c r="C5" i="6" s="1"/>
  <c r="B5" i="6" a="1"/>
  <c r="B5" i="6" s="1"/>
  <c r="B4" i="6"/>
  <c r="C4" i="6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15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5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D15" i="5" l="1"/>
  <c r="B1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<sst xmlns="http://schemas.openxmlformats.org/spreadsheetml/2006/main" count="24797" uniqueCount="8377">
  <si>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</si>
  <si>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</si>
  <si>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</si>
  <si>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</si>
  <si>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</si>
  <si>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</si>
  <si>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</si>
  <si>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</si>
  <si>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</si>
  <si>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</si>
  <si>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</si>
  <si>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</si>
  <si>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</si>
  <si>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</si>
  <si>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</si>
  <si>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</si>
  <si>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</si>
  <si>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</si>
  <si>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</si>
  <si>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</si>
  <si>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</si>
  <si>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</si>
  <si>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</si>
  <si>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</si>
  <si>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</si>
  <si>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</si>
  <si>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</si>
  <si>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</si>
  <si>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</si>
  <si>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</si>
  <si>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</si>
  <si>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</si>
  <si>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</si>
  <si>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</si>
  <si>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</si>
  <si>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</si>
  <si>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</si>
  <si>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</si>
  <si>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</si>
  <si>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</si>
  <si>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</si>
  <si>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</si>
  <si>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</si>
  <si>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</si>
  <si>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</si>
  <si>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</si>
  <si>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</si>
  <si>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</si>
  <si>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</si>
  <si>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</si>
  <si>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</si>
  <si>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</si>
  <si>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</si>
  <si>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</si>
  <si>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</si>
  <si>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</si>
  <si>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</si>
  <si>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</si>
  <si>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</si>
  <si>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</si>
  <si>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</si>
  <si>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</si>
  <si>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</si>
  <si>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</si>
  <si>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</si>
  <si>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</si>
  <si>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</si>
  <si>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</si>
  <si>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</si>
  <si>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</si>
  <si>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</si>
  <si>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</si>
  <si>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</si>
  <si>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</si>
  <si>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</si>
  <si>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</si>
  <si>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</si>
  <si>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</si>
  <si>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</si>
  <si>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</si>
  <si>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</si>
  <si>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</si>
  <si>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</si>
  <si>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</si>
  <si>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</si>
  <si>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</si>
  <si>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</si>
  <si>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</si>
  <si>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</si>
  <si>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</si>
  <si>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</si>
  <si>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</si>
  <si>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</si>
  <si>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</si>
  <si>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</si>
  <si>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</si>
  <si>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</si>
  <si>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</si>
  <si>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</si>
  <si>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</si>
  <si>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</si>
  <si>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</si>
  <si>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</si>
  <si>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</si>
  <si>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</si>
  <si>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</si>
  <si>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</si>
  <si>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</si>
  <si>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</si>
  <si>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</si>
  <si>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</si>
  <si>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</si>
  <si>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</si>
  <si>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</si>
  <si>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</si>
  <si>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</si>
  <si>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</si>
  <si>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</si>
  <si>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</si>
  <si>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</si>
  <si>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</si>
  <si>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</si>
  <si>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</si>
  <si>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</si>
  <si>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</si>
  <si>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</si>
  <si>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</si>
  <si>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</si>
  <si>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</si>
  <si>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</si>
  <si>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</si>
  <si>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</si>
  <si>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</si>
  <si>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</si>
  <si>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</si>
  <si>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</si>
  <si>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</si>
  <si>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</si>
  <si>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</si>
  <si>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</si>
  <si>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</si>
  <si>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</si>
  <si>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</si>
  <si>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</si>
  <si>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</si>
  <si>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</si>
  <si>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</si>
  <si>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</si>
  <si>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</si>
  <si>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</si>
  <si>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</si>
  <si>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</si>
  <si>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</si>
  <si>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</si>
  <si>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</si>
  <si>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</si>
  <si>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</si>
  <si>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</si>
  <si>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</si>
  <si>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</si>
  <si>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</si>
  <si>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</si>
  <si>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</si>
  <si>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</si>
  <si>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</si>
  <si>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</si>
  <si>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</si>
  <si>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</si>
  <si>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</si>
  <si>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</si>
  <si>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</si>
  <si>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</si>
  <si>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</si>
  <si>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</si>
  <si>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</si>
  <si>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</si>
  <si>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</si>
  <si>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</si>
  <si>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</si>
  <si>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</si>
  <si>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</si>
  <si>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</si>
  <si>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</si>
  <si>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</si>
  <si>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</si>
  <si>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</si>
  <si>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</si>
  <si>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</si>
  <si>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</si>
  <si>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</si>
  <si>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</si>
  <si>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</si>
  <si>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</si>
  <si>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</si>
  <si>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</si>
  <si>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</si>
  <si>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</si>
  <si>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</si>
  <si>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</si>
  <si>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</si>
  <si>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</si>
  <si>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</si>
  <si>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</si>
  <si>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</si>
  <si>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</si>
  <si>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</si>
  <si>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</si>
  <si>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</si>
  <si>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</si>
  <si>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</si>
  <si>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</si>
  <si>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</si>
  <si>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</si>
  <si>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</si>
  <si>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</si>
  <si>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</si>
  <si>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</si>
  <si>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</si>
  <si>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</si>
  <si>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</si>
  <si>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</si>
  <si>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</si>
  <si>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</si>
  <si>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</si>
  <si>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</si>
  <si>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</si>
  <si>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</si>
  <si>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</si>
  <si>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</si>
  <si>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</si>
  <si>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</si>
  <si>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</si>
  <si>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</si>
  <si>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</si>
  <si>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</si>
  <si>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</si>
  <si>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</si>
  <si>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</si>
  <si>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</si>
  <si>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</si>
  <si>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</si>
  <si>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</si>
  <si>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</si>
  <si>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</si>
  <si>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</si>
  <si>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</si>
  <si>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</si>
  <si>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</si>
  <si>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</si>
  <si>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</si>
  <si>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</si>
  <si>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</si>
  <si>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</si>
  <si>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</si>
  <si>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</si>
  <si>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</si>
  <si>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</si>
  <si>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</si>
  <si>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</si>
  <si>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</si>
  <si>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</si>
  <si>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</si>
  <si>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</si>
  <si>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</si>
  <si>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</si>
  <si>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</si>
  <si>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</si>
  <si>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</si>
  <si>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</si>
  <si>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</si>
  <si>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</si>
  <si>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</si>
  <si>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</si>
  <si>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</si>
  <si>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</si>
  <si>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</si>
  <si>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</si>
  <si>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</si>
  <si>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</si>
  <si>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</si>
  <si>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</si>
  <si>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</si>
  <si>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</si>
  <si>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</si>
  <si>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</si>
  <si>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</si>
  <si>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</si>
  <si>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</si>
  <si>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</si>
  <si>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</si>
  <si>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</si>
  <si>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</si>
  <si>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</si>
  <si>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</si>
  <si>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</si>
  <si>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</si>
  <si>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</si>
  <si>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</si>
  <si>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</si>
  <si>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</si>
  <si>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</si>
  <si>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</si>
  <si>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</si>
  <si>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</si>
  <si>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</si>
  <si>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</si>
  <si>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</si>
  <si>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</si>
  <si>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</si>
  <si>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</si>
  <si>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</si>
  <si>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</si>
  <si>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</si>
  <si>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</si>
  <si>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</si>
  <si>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</si>
  <si>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</si>
  <si>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</si>
  <si>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</si>
  <si>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</si>
  <si>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</si>
  <si>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</si>
  <si>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</si>
  <si>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</si>
  <si>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</si>
  <si>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</si>
  <si>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</si>
  <si>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</si>
  <si>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</si>
  <si>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</si>
  <si>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</si>
  <si>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</si>
  <si>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</si>
  <si>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</si>
  <si>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</si>
  <si>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</si>
  <si>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</si>
  <si>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</si>
  <si>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</si>
  <si>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</si>
  <si>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</si>
  <si>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</si>
  <si>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</si>
  <si>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</si>
  <si>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</si>
  <si>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</si>
  <si>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</si>
  <si>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</si>
  <si>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</si>
  <si>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</si>
  <si>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</si>
  <si>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</si>
  <si>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</si>
  <si>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</si>
  <si>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</si>
  <si>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</si>
  <si>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</si>
  <si>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</si>
  <si>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</si>
  <si>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</si>
  <si>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</si>
  <si>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</si>
  <si>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</si>
  <si>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</si>
  <si>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</si>
  <si>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</si>
  <si>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</si>
  <si>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</si>
  <si>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</si>
  <si>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</si>
  <si>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</si>
  <si>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</si>
  <si>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</si>
  <si>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</si>
  <si>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</si>
  <si>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</si>
  <si>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</si>
  <si>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</si>
  <si>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</si>
  <si>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</si>
  <si>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</si>
  <si>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</si>
  <si>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</si>
  <si>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</si>
  <si>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</si>
  <si>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</si>
  <si>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</si>
  <si>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</si>
  <si>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</si>
  <si>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</si>
  <si>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</si>
  <si>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</si>
  <si>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</si>
  <si>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</si>
  <si>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</si>
  <si>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</si>
  <si>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</si>
  <si>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</si>
  <si>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</si>
  <si>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</si>
  <si>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</si>
  <si>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</si>
  <si>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</si>
  <si>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</si>
  <si>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</si>
  <si>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</si>
  <si>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</si>
  <si>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</si>
  <si>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</si>
  <si>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</si>
  <si>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</si>
  <si>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</si>
  <si>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</si>
  <si>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</si>
  <si>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</si>
  <si>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</si>
  <si>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</si>
  <si>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</si>
  <si>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</si>
  <si>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</si>
  <si>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</si>
  <si>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</si>
  <si>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</si>
  <si>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</si>
  <si>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</si>
  <si>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</si>
  <si>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</si>
  <si>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</si>
  <si>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</si>
  <si>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</si>
  <si>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</si>
  <si>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</si>
  <si>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</si>
  <si>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</si>
  <si>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</si>
  <si>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</si>
  <si>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</si>
  <si>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</si>
  <si>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</si>
  <si>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</si>
  <si>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</si>
  <si>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</si>
  <si>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</si>
  <si>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</si>
  <si>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</si>
  <si>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</si>
  <si>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</si>
  <si>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</si>
  <si>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</si>
  <si>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</si>
  <si>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</si>
  <si>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</si>
  <si>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</si>
  <si>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</si>
  <si>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</si>
  <si>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</si>
  <si>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</si>
  <si>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</si>
  <si>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</si>
  <si>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</si>
  <si>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</si>
  <si>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</si>
  <si>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</si>
  <si>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</si>
  <si>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</si>
  <si>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</si>
  <si>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</si>
  <si>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</si>
  <si>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</si>
  <si>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</si>
  <si>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</si>
  <si>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</si>
  <si>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</si>
  <si>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</si>
  <si>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</si>
  <si>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</si>
  <si>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</si>
  <si>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</si>
  <si>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</si>
  <si>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</si>
  <si>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</si>
  <si>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</si>
  <si>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</si>
  <si>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</si>
  <si>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</si>
  <si>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</si>
  <si>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</si>
  <si>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</si>
  <si>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</si>
  <si>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</si>
  <si>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</si>
  <si>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</si>
  <si>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</si>
  <si>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</si>
  <si>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</si>
  <si>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</si>
  <si>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</si>
  <si>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</si>
  <si>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</si>
  <si>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</si>
  <si>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</si>
  <si>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</si>
  <si>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</si>
  <si>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</si>
  <si>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</si>
  <si>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</si>
  <si>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</si>
  <si>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</si>
  <si>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</si>
  <si>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</si>
  <si>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</si>
  <si>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</si>
  <si>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</si>
  <si>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</si>
  <si>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</si>
  <si>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</si>
  <si>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</si>
  <si>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</si>
  <si>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</si>
  <si>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</si>
  <si>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</si>
  <si>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</si>
  <si>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</si>
  <si>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</si>
  <si>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</si>
  <si>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</si>
  <si>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</si>
  <si>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</si>
  <si>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</si>
  <si>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</si>
  <si>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</si>
  <si>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</si>
  <si>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</si>
  <si>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</si>
  <si>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</si>
  <si>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</si>
  <si>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</si>
  <si>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</si>
  <si>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</si>
  <si>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</si>
  <si>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</si>
  <si>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</si>
  <si>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</si>
  <si>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</si>
  <si>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</si>
  <si>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</si>
  <si>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</si>
  <si>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</si>
  <si>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</si>
  <si>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</si>
  <si>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</si>
  <si>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</si>
  <si>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</si>
  <si>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</si>
  <si>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</si>
  <si>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</si>
  <si>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</si>
  <si>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</si>
  <si>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</si>
  <si>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</si>
  <si>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</si>
  <si>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</si>
  <si>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</si>
  <si>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</si>
  <si>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</si>
  <si>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</si>
  <si>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</si>
  <si>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</si>
  <si>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</si>
  <si>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</si>
  <si>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</si>
  <si>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</si>
  <si>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</si>
  <si>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</si>
  <si>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</si>
  <si>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</si>
  <si>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</si>
  <si>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</si>
  <si>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</si>
  <si>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</si>
  <si>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</si>
  <si>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</si>
  <si>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</si>
  <si>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</si>
  <si>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</si>
  <si>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</si>
  <si>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</si>
  <si>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</si>
  <si>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</si>
  <si>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</si>
  <si>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</si>
  <si>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</si>
  <si>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</si>
  <si>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</si>
  <si>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</si>
  <si>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</si>
  <si>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</si>
  <si>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</si>
  <si>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</si>
  <si>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</si>
  <si>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</si>
  <si>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</si>
  <si>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</si>
  <si>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</si>
  <si>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</si>
  <si>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</si>
  <si>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</si>
  <si>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</si>
  <si>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</si>
  <si>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</si>
  <si>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</si>
  <si>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</si>
  <si>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</si>
  <si>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</si>
  <si>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</si>
  <si>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</si>
  <si>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</si>
  <si>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</si>
  <si>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</si>
  <si>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</si>
  <si>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</si>
  <si>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</si>
  <si>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</si>
  <si>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</si>
  <si>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</si>
  <si>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</si>
  <si>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</si>
  <si>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</si>
  <si>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</si>
  <si>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</si>
  <si>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</si>
  <si>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</si>
  <si>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</si>
  <si>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</si>
  <si>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</si>
  <si>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</si>
  <si>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</si>
  <si>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</si>
  <si>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</si>
  <si>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</si>
  <si>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</si>
  <si>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</si>
  <si>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</si>
  <si>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</si>
  <si>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</si>
  <si>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</si>
  <si>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</si>
  <si>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</si>
  <si>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</si>
  <si>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</si>
  <si>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</si>
  <si>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</si>
  <si>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</si>
  <si>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</si>
  <si>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</si>
  <si>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</si>
  <si>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</si>
  <si>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</si>
  <si>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</si>
  <si>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</si>
  <si>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</si>
  <si>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</si>
  <si>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</si>
  <si>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</si>
  <si>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</si>
  <si>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</si>
  <si>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</si>
  <si>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</si>
  <si>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</si>
  <si>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</si>
  <si>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</si>
  <si>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</si>
  <si>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</si>
  <si>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</si>
  <si>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</si>
  <si>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</si>
  <si>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</si>
  <si>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</si>
  <si>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</si>
  <si>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</si>
  <si>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</si>
  <si>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</si>
  <si>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</si>
  <si>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</si>
  <si>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</si>
  <si>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</si>
  <si>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</si>
  <si>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</si>
  <si>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</si>
  <si>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</si>
  <si>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</si>
  <si>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</si>
  <si>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</si>
  <si>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</si>
  <si>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</si>
  <si>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</si>
  <si>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</si>
  <si>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</si>
  <si>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</si>
  <si>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</si>
  <si>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</si>
  <si>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</si>
  <si>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</si>
  <si>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</si>
  <si>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</si>
  <si>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</si>
  <si>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</si>
  <si>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</si>
  <si>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</si>
  <si>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</si>
  <si>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</si>
  <si>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</si>
  <si>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</si>
  <si>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</si>
  <si>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</si>
  <si>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</si>
  <si>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</si>
  <si>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</si>
  <si>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</si>
  <si>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</si>
  <si>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</si>
  <si>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</si>
  <si>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</si>
  <si>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</si>
  <si>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</si>
  <si>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</si>
  <si>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</si>
  <si>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</si>
  <si>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</si>
  <si>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</si>
  <si>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</si>
  <si>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</si>
  <si>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</si>
  <si>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</si>
  <si>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</si>
  <si>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</si>
  <si>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</si>
  <si>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</si>
  <si>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</si>
  <si>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</si>
  <si>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</si>
  <si>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</si>
  <si>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</si>
  <si>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</si>
  <si>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</si>
  <si>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</si>
  <si>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</si>
  <si>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</si>
  <si>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</si>
  <si>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</si>
  <si>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</si>
  <si>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</si>
  <si>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</si>
  <si>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</si>
  <si>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</si>
  <si>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</si>
  <si>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</si>
  <si>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</si>
  <si>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</si>
  <si>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</si>
  <si>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</si>
  <si>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</si>
  <si>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</si>
  <si>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</si>
  <si>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</si>
  <si>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</si>
  <si>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</si>
  <si>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</si>
  <si>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</si>
  <si>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</si>
  <si>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</si>
  <si>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</si>
  <si>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</si>
  <si>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</si>
  <si>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</si>
  <si>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</si>
  <si>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</si>
  <si>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</si>
  <si>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</si>
  <si>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</si>
  <si>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</si>
  <si>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</si>
  <si>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</si>
  <si>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</si>
  <si>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</si>
  <si>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</si>
  <si>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</si>
  <si>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</si>
  <si>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</si>
  <si>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</si>
  <si>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</si>
  <si>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</si>
  <si>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</si>
  <si>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</si>
  <si>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</si>
  <si>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</si>
  <si>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</si>
  <si>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</si>
  <si>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</si>
  <si>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</si>
  <si>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</si>
  <si>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</si>
  <si>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</si>
  <si>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</si>
  <si>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</si>
  <si>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</si>
  <si>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</si>
  <si>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</si>
  <si>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</si>
  <si>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</si>
  <si>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</si>
  <si>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</si>
  <si>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</si>
  <si>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</si>
  <si>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</si>
  <si>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</si>
  <si>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</si>
  <si>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</si>
  <si>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</si>
  <si>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</si>
  <si>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</si>
  <si>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</si>
  <si>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</si>
  <si>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</si>
  <si>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</si>
  <si>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</si>
  <si>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</si>
  <si>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</si>
  <si>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</si>
  <si>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</si>
  <si>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</si>
  <si>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</si>
  <si>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</si>
  <si>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</si>
  <si>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</si>
  <si>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</si>
  <si>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</si>
  <si>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</si>
  <si>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</si>
  <si>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</si>
  <si>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</si>
  <si>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</si>
  <si>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</si>
  <si>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</si>
  <si>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</si>
  <si>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</si>
  <si>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</si>
  <si>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</si>
  <si>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</si>
  <si>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</si>
  <si>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</si>
  <si>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</si>
  <si>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</si>
  <si>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</si>
  <si>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</si>
  <si>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</si>
  <si>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</si>
  <si>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</si>
  <si>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</si>
  <si>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</si>
  <si>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</si>
  <si>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</si>
  <si>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</si>
  <si>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</si>
  <si>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</si>
  <si>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</si>
  <si>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</si>
  <si>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</si>
  <si>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</si>
  <si>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</si>
  <si>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</si>
  <si>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</si>
  <si>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</si>
  <si>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</si>
  <si>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</si>
  <si>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</si>
  <si>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</si>
  <si>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</si>
  <si>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</si>
  <si>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</si>
  <si>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</si>
  <si>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</si>
  <si>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</si>
  <si>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</si>
  <si>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</si>
  <si>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</si>
  <si>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</si>
  <si>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</si>
  <si>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</si>
  <si>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</si>
  <si>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</si>
  <si>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</si>
  <si>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</si>
  <si>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</si>
  <si>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</si>
  <si>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</si>
  <si>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</si>
  <si>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</si>
  <si>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</si>
  <si>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</si>
  <si>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</si>
  <si>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</si>
  <si>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</si>
  <si>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</si>
  <si>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</si>
  <si>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</si>
  <si>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</si>
  <si>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</si>
  <si>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</si>
  <si>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</si>
  <si>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</si>
  <si>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</si>
  <si>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</si>
  <si>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</si>
  <si>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</si>
  <si>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</si>
  <si>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</si>
  <si>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</si>
  <si>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</si>
  <si>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</si>
  <si>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</si>
  <si>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</si>
  <si>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</si>
  <si>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</si>
  <si>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</si>
  <si>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</si>
  <si>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</si>
  <si>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</si>
  <si>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</si>
  <si>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</si>
  <si>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</si>
  <si>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</si>
  <si>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</si>
  <si>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</si>
  <si>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</si>
  <si>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</si>
  <si>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</si>
  <si>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</si>
  <si>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</si>
  <si>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</si>
  <si>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</si>
  <si>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</si>
  <si>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</si>
  <si>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</si>
  <si>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</si>
  <si>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</si>
  <si>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</si>
  <si>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</si>
  <si>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</si>
  <si>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</si>
  <si>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</si>
  <si>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</si>
  <si>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</si>
  <si>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</si>
  <si>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</si>
  <si>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</si>
  <si>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</si>
  <si>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</si>
  <si>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</si>
  <si>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</si>
  <si>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</si>
  <si>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</si>
  <si>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</si>
  <si>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</si>
  <si>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</si>
  <si>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</si>
  <si>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</si>
  <si>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</si>
  <si>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</si>
  <si>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</si>
  <si>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</si>
  <si>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</si>
  <si>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</si>
  <si>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</si>
  <si>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</si>
  <si>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</si>
  <si>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</si>
  <si>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</si>
  <si>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</si>
  <si>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</si>
  <si>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</si>
  <si>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</si>
  <si>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</si>
  <si>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</si>
  <si>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</si>
  <si>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</si>
  <si>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</si>
  <si>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</si>
  <si>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</si>
  <si>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</si>
  <si>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</si>
  <si>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</si>
  <si>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</si>
  <si>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</si>
  <si>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</si>
  <si>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</si>
  <si>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</si>
  <si>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</si>
  <si>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</si>
  <si>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</si>
  <si>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</si>
  <si>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</si>
  <si>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</si>
  <si>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</si>
  <si>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</si>
  <si>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</si>
  <si>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</si>
  <si>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</si>
  <si>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</si>
  <si>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</si>
  <si>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</si>
  <si>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</si>
  <si>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</si>
  <si>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</si>
  <si>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</si>
  <si>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</si>
  <si>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</si>
  <si>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</si>
  <si>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</si>
  <si>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</si>
  <si>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</si>
  <si>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</si>
  <si>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</si>
  <si>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</si>
  <si>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</si>
  <si>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</si>
  <si>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</si>
  <si>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</si>
  <si>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</si>
  <si>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</si>
  <si>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</si>
  <si>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</si>
  <si>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</si>
  <si>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</si>
  <si>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</si>
  <si>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</si>
  <si>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</si>
  <si>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</si>
  <si>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</si>
  <si>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</si>
  <si>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</si>
  <si>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</si>
  <si>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</si>
  <si>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</si>
  <si>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</si>
  <si>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</si>
  <si>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</si>
  <si>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</si>
  <si>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</si>
  <si>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</si>
  <si>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</si>
  <si>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</si>
  <si>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</si>
  <si>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</si>
  <si>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</si>
  <si>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</si>
  <si>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</si>
  <si>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</si>
  <si>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</si>
  <si>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</si>
  <si>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</si>
  <si>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</si>
  <si>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</si>
  <si>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</si>
  <si>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</si>
  <si>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</si>
  <si>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</si>
  <si>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</si>
  <si>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</si>
  <si>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</si>
  <si>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</si>
  <si>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</si>
  <si>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</si>
  <si>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</si>
  <si>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</si>
  <si>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</si>
  <si>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</si>
  <si>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</si>
  <si>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</si>
  <si>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</si>
  <si>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</si>
  <si>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</si>
  <si>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</si>
  <si>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</si>
  <si>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</si>
  <si>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</si>
  <si>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</si>
  <si>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</si>
  <si>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</si>
  <si>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</si>
  <si>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</si>
  <si>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</si>
  <si>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</si>
  <si>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</si>
  <si>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</si>
  <si>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</si>
  <si>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</si>
  <si>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</si>
  <si>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</si>
  <si>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</si>
  <si>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</si>
  <si>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</si>
  <si>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</si>
  <si>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</si>
  <si>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</si>
  <si>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</si>
  <si>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</si>
  <si>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</si>
  <si>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</si>
  <si>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</si>
  <si>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</si>
  <si>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</si>
  <si>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</si>
  <si>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</si>
  <si>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</si>
  <si>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</si>
  <si>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</si>
  <si>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</si>
  <si>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</si>
  <si>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</si>
  <si>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</si>
  <si>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</si>
  <si>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</si>
  <si>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</si>
  <si>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</si>
  <si>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</si>
  <si>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</si>
  <si>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</si>
  <si>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</si>
  <si>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</si>
  <si>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</si>
  <si>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</si>
  <si>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</si>
  <si>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</si>
  <si>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</si>
  <si>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</si>
  <si>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</si>
  <si>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</si>
  <si>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</si>
  <si>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</si>
  <si>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</si>
  <si>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</si>
  <si>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</si>
  <si>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</si>
  <si>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</si>
  <si>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</si>
  <si>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</si>
  <si>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</si>
  <si>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</si>
  <si>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</si>
  <si>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</si>
  <si>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</si>
  <si>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</si>
  <si>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</si>
  <si>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</si>
  <si>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</si>
  <si>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</si>
  <si>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</si>
  <si>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</si>
  <si>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</si>
  <si>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</si>
  <si>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</si>
  <si>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</si>
  <si>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</si>
  <si>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</si>
  <si>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</si>
  <si>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</si>
  <si>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</si>
  <si>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</si>
  <si>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</si>
  <si>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</si>
  <si>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</si>
  <si>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</si>
  <si>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</si>
  <si>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</si>
  <si>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</si>
  <si>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</si>
  <si>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</si>
  <si>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</si>
  <si>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</si>
  <si>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</si>
  <si>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</si>
  <si>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</si>
  <si>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</si>
  <si>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</si>
  <si>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</si>
  <si>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</si>
  <si>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</si>
  <si>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</si>
  <si>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</si>
  <si>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</si>
  <si>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</si>
  <si>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</si>
  <si>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</si>
  <si>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</si>
  <si>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</si>
  <si>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</si>
  <si>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</si>
  <si>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</si>
  <si>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</si>
  <si>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</si>
  <si>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</si>
  <si>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</si>
  <si>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</si>
  <si>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</si>
  <si>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</si>
  <si>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</si>
  <si>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</si>
  <si>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</si>
  <si>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</si>
  <si>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</si>
  <si>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</si>
  <si>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</si>
  <si>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</si>
  <si>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</si>
  <si>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</si>
  <si>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</si>
  <si>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</si>
  <si>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</si>
  <si>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</si>
  <si>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</si>
  <si>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</si>
  <si>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</si>
  <si>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</si>
  <si>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</si>
  <si>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</si>
  <si>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</si>
  <si>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</si>
  <si>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</si>
  <si>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</si>
  <si>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</si>
  <si>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</si>
  <si>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</si>
  <si>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</si>
  <si>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</si>
  <si>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</si>
  <si>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</si>
  <si>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</si>
  <si>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</si>
  <si>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</si>
  <si>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</si>
  <si>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</si>
  <si>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</si>
  <si>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</si>
  <si>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</si>
  <si>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</si>
  <si>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</si>
  <si>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</si>
  <si>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</si>
  <si>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</si>
  <si>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</si>
  <si>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</si>
  <si>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</si>
  <si>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</si>
  <si>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</si>
  <si>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</si>
  <si>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</si>
  <si>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</si>
  <si>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</si>
  <si>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</si>
  <si>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</si>
  <si>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</si>
  <si>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</si>
  <si>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</si>
  <si>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</si>
  <si>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</si>
  <si>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</si>
  <si>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</si>
  <si>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</si>
  <si>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</si>
  <si>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</si>
  <si>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</si>
  <si>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</si>
  <si>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</si>
  <si>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</si>
  <si>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</si>
  <si>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</si>
  <si>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</si>
  <si>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</si>
  <si>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</si>
  <si>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</si>
  <si>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</si>
  <si>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</si>
  <si>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</si>
  <si>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</si>
  <si>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</si>
  <si>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</si>
  <si>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</si>
  <si>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</si>
  <si>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</si>
  <si>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</si>
  <si>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</si>
  <si>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</si>
  <si>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</si>
  <si>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</si>
  <si>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</si>
  <si>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</si>
  <si>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</si>
  <si>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</si>
  <si>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</si>
  <si>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</si>
  <si>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</si>
  <si>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</si>
  <si>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</si>
  <si>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</si>
  <si>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</si>
  <si>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</si>
  <si>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</si>
  <si>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</si>
  <si>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</si>
  <si>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</si>
  <si>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</si>
  <si>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</si>
  <si>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</si>
  <si>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</si>
  <si>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</si>
  <si>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</si>
  <si>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</si>
  <si>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</si>
  <si>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</si>
  <si>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</si>
  <si>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</si>
  <si>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</si>
  <si>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</si>
  <si>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</si>
  <si>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</si>
  <si>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</si>
  <si>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</si>
  <si>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</si>
  <si>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</si>
  <si>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</si>
  <si>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</si>
  <si>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</si>
  <si>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</si>
  <si>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</si>
  <si>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</si>
  <si>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</si>
  <si>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</si>
  <si>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</si>
  <si>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</si>
  <si>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</si>
  <si>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</si>
  <si>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</si>
  <si>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</si>
  <si>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</si>
  <si>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</si>
  <si>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</si>
  <si>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</si>
  <si>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</si>
  <si>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</si>
  <si>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</si>
  <si>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</si>
  <si>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</si>
  <si>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</si>
  <si>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</si>
  <si>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</si>
  <si>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</si>
  <si>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</si>
  <si>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</si>
  <si>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</si>
  <si>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</si>
  <si>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</si>
  <si>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</si>
  <si>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</si>
  <si>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</si>
  <si>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</si>
  <si>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</si>
  <si>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</si>
  <si>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</si>
  <si>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</si>
  <si>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</si>
  <si>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</si>
  <si>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</si>
  <si>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</si>
  <si>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</si>
  <si>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</si>
  <si>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</si>
  <si>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</si>
  <si>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</si>
  <si>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</si>
  <si>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</si>
  <si>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</si>
  <si>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</si>
  <si>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</si>
  <si>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</si>
  <si>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</si>
  <si>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</si>
  <si>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</si>
  <si>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</si>
  <si>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</si>
  <si>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</si>
  <si>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</si>
  <si>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</si>
  <si>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</si>
  <si>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</si>
  <si>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</si>
  <si>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</si>
  <si>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</si>
  <si>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</si>
  <si>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</si>
  <si>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</si>
  <si>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</si>
  <si>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</si>
  <si>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</si>
  <si>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</si>
  <si>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</si>
  <si>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</si>
  <si>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</si>
  <si>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</si>
  <si>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</si>
  <si>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</si>
  <si>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</si>
  <si>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</si>
  <si>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</si>
  <si>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</si>
  <si>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</si>
  <si>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</si>
  <si>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</si>
  <si>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</si>
  <si>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</si>
  <si>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</si>
  <si>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</si>
  <si>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</si>
  <si>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</si>
  <si>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</si>
  <si>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</si>
  <si>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</si>
  <si>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</si>
  <si>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</si>
  <si>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</si>
  <si>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</si>
  <si>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</si>
  <si>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</si>
  <si>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</si>
  <si>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</si>
  <si>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</si>
  <si>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</si>
  <si>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</si>
  <si>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</si>
  <si>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</si>
  <si>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</si>
  <si>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</si>
  <si>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</si>
  <si>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</si>
  <si>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</si>
  <si>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</si>
  <si>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</si>
  <si>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</si>
  <si>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</si>
  <si>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</si>
  <si>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</si>
  <si>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</si>
  <si>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</si>
  <si>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</si>
  <si>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</si>
  <si>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</si>
  <si>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</si>
  <si>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</si>
  <si>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</si>
  <si>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</si>
  <si>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</si>
  <si>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</si>
  <si>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</si>
  <si>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</si>
  <si>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</si>
  <si>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</si>
  <si>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</si>
  <si>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</si>
  <si>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</si>
  <si>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</si>
  <si>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</si>
  <si>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</si>
  <si>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</si>
  <si>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</si>
  <si>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</si>
  <si>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</si>
  <si>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</si>
  <si>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</si>
  <si>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</si>
  <si>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</si>
  <si>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</si>
  <si>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</si>
  <si>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</si>
  <si>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</si>
  <si>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</si>
  <si>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</si>
  <si>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</si>
  <si>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</si>
  <si>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</si>
  <si>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</si>
  <si>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</si>
  <si>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</si>
  <si>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</si>
  <si>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</si>
  <si>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</si>
  <si>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</si>
  <si>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</si>
  <si>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</si>
  <si>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</si>
  <si>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</si>
  <si>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</si>
  <si>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</si>
  <si>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</si>
  <si>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</si>
  <si>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</si>
  <si>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</si>
  <si>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</si>
  <si>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</si>
  <si>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</si>
  <si>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</si>
  <si>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</si>
  <si>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</si>
  <si>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</si>
  <si>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</si>
  <si>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</si>
  <si>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</si>
  <si>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</si>
  <si>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</si>
  <si>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</si>
  <si>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</si>
  <si>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</si>
  <si>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</si>
  <si>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</si>
  <si>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</si>
  <si>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</si>
  <si>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</si>
  <si>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</si>
  <si>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</si>
  <si>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</si>
  <si>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</si>
  <si>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</si>
  <si>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</si>
  <si>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</si>
  <si>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</si>
  <si>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</si>
  <si>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</si>
  <si>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</si>
  <si>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</si>
  <si>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</si>
  <si>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</si>
  <si>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</si>
  <si>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</si>
  <si>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</si>
  <si>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</si>
  <si>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</si>
  <si>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</si>
  <si>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</si>
  <si>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</si>
  <si>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</si>
  <si>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</si>
  <si>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</si>
  <si>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</si>
  <si>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</si>
  <si>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</si>
  <si>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</si>
  <si>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</si>
  <si>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</si>
  <si>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</si>
  <si>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</si>
  <si>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</si>
  <si>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</si>
  <si>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</si>
  <si>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</si>
  <si>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</si>
  <si>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</si>
  <si>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</si>
  <si>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</si>
  <si>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</si>
  <si>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</si>
  <si>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</si>
  <si>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</si>
  <si>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</si>
  <si>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</si>
  <si>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</si>
  <si>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</si>
  <si>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</si>
  <si>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</si>
  <si>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</si>
  <si>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</si>
  <si>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</si>
  <si>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</si>
  <si>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</si>
  <si>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</si>
  <si>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</si>
  <si>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</si>
  <si>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</si>
  <si>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</si>
  <si>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</si>
  <si>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</si>
  <si>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</si>
  <si>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</si>
  <si>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</si>
  <si>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</si>
  <si>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</si>
  <si>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</si>
  <si>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</si>
  <si>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</si>
  <si>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</si>
  <si>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</si>
  <si>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</si>
  <si>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</si>
  <si>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</si>
  <si>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</si>
  <si>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</si>
  <si>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</si>
  <si>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</si>
  <si>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</si>
  <si>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</si>
  <si>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</si>
  <si>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</si>
  <si>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</si>
  <si>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</si>
  <si>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</si>
  <si>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</si>
  <si>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</si>
  <si>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</si>
  <si>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</si>
  <si>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</si>
  <si>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</si>
  <si>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</si>
  <si>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</si>
  <si>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</si>
  <si>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</si>
  <si>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</si>
  <si>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</si>
  <si>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</si>
  <si>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</si>
  <si>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</si>
  <si>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</si>
  <si>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</si>
  <si>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</si>
  <si>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</si>
  <si>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</si>
  <si>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</si>
  <si>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</si>
  <si>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</si>
  <si>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</si>
  <si>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</si>
  <si>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</si>
  <si>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</si>
  <si>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</si>
  <si>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</si>
  <si>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</si>
  <si>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</si>
  <si>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</si>
  <si>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</si>
  <si>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</si>
  <si>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</si>
  <si>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</si>
  <si>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</si>
  <si>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</si>
  <si>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</si>
  <si>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</si>
  <si>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</si>
  <si>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</si>
  <si>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</si>
  <si>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</si>
  <si>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</si>
  <si>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</si>
  <si>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</si>
  <si>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</si>
  <si>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</si>
  <si>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</si>
  <si>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</si>
  <si>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</si>
  <si>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</si>
  <si>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</si>
  <si>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</si>
  <si>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</si>
  <si>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</si>
  <si>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</si>
  <si>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</si>
  <si>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</si>
  <si>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</si>
  <si>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</si>
  <si>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</si>
  <si>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</si>
  <si>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</si>
  <si>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</si>
  <si>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</si>
  <si>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</si>
  <si>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</si>
  <si>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</si>
  <si>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</si>
  <si>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</si>
  <si>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</si>
  <si>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</si>
  <si>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</si>
  <si>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</si>
  <si>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</si>
  <si>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</si>
  <si>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</si>
  <si>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</si>
  <si>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</si>
  <si>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</si>
  <si>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</si>
  <si>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</si>
  <si>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</si>
  <si>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</si>
  <si>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</si>
  <si>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</si>
  <si>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</si>
  <si>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</si>
  <si>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</si>
  <si>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</si>
  <si>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</si>
  <si>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</si>
  <si>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</si>
  <si>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</si>
  <si>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</si>
  <si>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</si>
  <si>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</si>
  <si>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</si>
  <si>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</si>
  <si>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</si>
  <si>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</si>
  <si>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</si>
  <si>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</si>
  <si>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</si>
  <si>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</si>
  <si>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</si>
  <si>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</si>
  <si>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</si>
  <si>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</si>
  <si>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</si>
  <si>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</si>
  <si>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</si>
  <si>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</si>
  <si>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</si>
  <si>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</si>
  <si>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</si>
  <si>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</si>
  <si>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</si>
  <si>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</si>
  <si>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</si>
  <si>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</si>
  <si>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</si>
  <si>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</si>
  <si>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</si>
  <si>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</si>
  <si>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</si>
  <si>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</si>
  <si>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</si>
  <si>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</si>
  <si>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</si>
  <si>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</si>
  <si>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</si>
  <si>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</si>
  <si>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</si>
  <si>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</si>
  <si>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</si>
  <si>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</si>
  <si>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</si>
  <si>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</si>
  <si>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</si>
  <si>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</si>
  <si>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</si>
  <si>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</si>
  <si>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</si>
  <si>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</si>
  <si>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</si>
  <si>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</si>
  <si>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</si>
  <si>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</si>
  <si>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</si>
  <si>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</si>
  <si>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</si>
  <si>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</si>
  <si>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</si>
  <si>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</si>
  <si>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</si>
  <si>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</si>
  <si>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</si>
  <si>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</si>
  <si>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</si>
  <si>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</si>
  <si>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</si>
  <si>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</si>
  <si>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</si>
  <si>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</si>
  <si>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</si>
  <si>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</si>
  <si>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</si>
  <si>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</si>
  <si>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</si>
  <si>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</si>
  <si>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</si>
  <si>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</si>
  <si>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</si>
  <si>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</si>
  <si>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</si>
  <si>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</si>
  <si>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</si>
  <si>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</si>
  <si>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</si>
  <si>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</si>
  <si>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</si>
  <si>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</si>
  <si>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</si>
  <si>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</si>
  <si>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</si>
  <si>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</si>
  <si>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</si>
  <si>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</si>
  <si>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</si>
  <si>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</si>
  <si>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</si>
  <si>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</si>
  <si>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</si>
  <si>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</si>
  <si>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</si>
  <si>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</si>
  <si>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</si>
  <si>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</si>
  <si>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</si>
  <si>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</si>
  <si>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</si>
  <si>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</si>
  <si>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</si>
  <si>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</si>
  <si>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</si>
  <si>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</si>
  <si>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</si>
  <si>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</si>
  <si>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</si>
  <si>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</si>
  <si>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</si>
  <si>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</si>
  <si>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</si>
  <si>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</si>
  <si>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</si>
  <si>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</si>
  <si>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</si>
  <si>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</si>
  <si>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</si>
  <si>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</si>
  <si>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</si>
  <si>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</si>
  <si>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</si>
  <si>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</si>
  <si>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</si>
  <si>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</si>
  <si>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</si>
  <si>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</si>
  <si>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</si>
  <si>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</si>
  <si>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</si>
  <si>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</si>
  <si>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</si>
  <si>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</si>
  <si>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</si>
  <si>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</si>
  <si>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</si>
  <si>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</si>
  <si>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</si>
  <si>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</si>
  <si>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</si>
  <si>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</si>
  <si>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</si>
  <si>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</si>
  <si>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</si>
  <si>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</si>
  <si>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</si>
  <si>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</si>
  <si>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</si>
  <si>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</si>
  <si>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</si>
  <si>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</si>
  <si>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</si>
  <si>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</si>
  <si>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</si>
  <si>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</si>
  <si>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</si>
  <si>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</si>
  <si>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</si>
  <si>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</si>
  <si>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</si>
  <si>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</si>
  <si>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</si>
  <si>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</si>
  <si>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</si>
  <si>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</si>
  <si>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</si>
  <si>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</si>
  <si>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</si>
  <si>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</si>
  <si>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</si>
  <si>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</si>
  <si>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</si>
  <si>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</si>
  <si>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</si>
  <si>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</si>
  <si>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</si>
  <si>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</si>
  <si>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</si>
  <si>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</si>
  <si>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</si>
  <si>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</si>
  <si>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</si>
  <si>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</si>
  <si>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</si>
  <si>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</si>
  <si>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</si>
  <si>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</si>
  <si>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</si>
  <si>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</si>
  <si>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</si>
  <si>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</si>
  <si>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</si>
  <si>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</si>
  <si>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</si>
  <si>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</si>
  <si>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</si>
  <si>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</si>
  <si>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</si>
  <si>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</si>
  <si>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</si>
  <si>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</si>
  <si>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</si>
  <si>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</si>
  <si>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</si>
  <si>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</si>
  <si>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</si>
  <si>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</si>
  <si>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</si>
  <si>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</si>
  <si>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</si>
  <si>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</si>
  <si>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</si>
  <si>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</si>
  <si>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</si>
  <si>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</si>
  <si>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</si>
  <si>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</si>
  <si>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</si>
  <si>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</si>
  <si>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</si>
  <si>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</si>
  <si>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</si>
  <si>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</si>
  <si>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</si>
  <si>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</si>
  <si>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</si>
  <si>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</si>
  <si>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</si>
  <si>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</si>
  <si>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</si>
  <si>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</si>
  <si>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</si>
  <si>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</si>
  <si>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</si>
  <si>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</si>
  <si>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</si>
  <si>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</si>
  <si>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</si>
  <si>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</si>
  <si>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</si>
  <si>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</si>
  <si>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</si>
  <si>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</si>
  <si>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</si>
  <si>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</si>
  <si>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</si>
  <si>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</si>
  <si>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</si>
  <si>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</si>
  <si>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</si>
  <si>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</si>
  <si>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</si>
  <si>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</si>
  <si>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</si>
  <si>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</si>
  <si>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</si>
  <si>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</si>
  <si>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</si>
  <si>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</si>
  <si>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</si>
  <si>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</si>
  <si>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</si>
  <si>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</si>
  <si>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</si>
  <si>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</si>
  <si>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</si>
  <si>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</si>
  <si>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</si>
  <si>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</si>
  <si>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</si>
  <si>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</si>
  <si>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</si>
  <si>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</si>
  <si>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</si>
  <si>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</si>
  <si>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</si>
  <si>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</si>
  <si>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</si>
  <si>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</si>
  <si>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</si>
  <si>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</si>
  <si>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</si>
  <si>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</si>
  <si>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</si>
  <si>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</si>
  <si>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</si>
  <si>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</si>
  <si>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</si>
  <si>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</si>
  <si>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</si>
  <si>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</si>
  <si>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</si>
  <si>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</si>
  <si>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</si>
  <si>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</si>
  <si>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</si>
  <si>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</si>
  <si>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</si>
  <si>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</si>
  <si>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</si>
  <si>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</si>
  <si>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</si>
  <si>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</si>
  <si>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</si>
  <si>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</si>
  <si>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</si>
  <si>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</si>
  <si>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</si>
  <si>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</si>
  <si>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</si>
  <si>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</si>
  <si>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</si>
  <si>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</si>
  <si>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</si>
  <si>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</si>
  <si>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</si>
  <si>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</si>
  <si>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</si>
  <si>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</si>
  <si>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</si>
  <si>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</si>
  <si>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</si>
  <si>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</si>
  <si>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</si>
  <si>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</si>
  <si>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</si>
  <si>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</si>
  <si>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</si>
  <si>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</si>
  <si>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</si>
  <si>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</si>
  <si>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</si>
  <si>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</si>
  <si>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</si>
  <si>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</si>
  <si>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</si>
  <si>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</si>
  <si>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</si>
  <si>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</si>
  <si>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</si>
  <si>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</si>
  <si>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</si>
  <si>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</si>
  <si>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</si>
  <si>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</si>
  <si>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</si>
  <si>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</si>
  <si>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</si>
  <si>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</si>
  <si>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</si>
  <si>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</si>
  <si>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</si>
  <si>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</si>
  <si>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</si>
  <si>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</si>
  <si>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</si>
  <si>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</si>
  <si>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</si>
  <si>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</si>
  <si>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</si>
  <si>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</si>
  <si>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</si>
  <si>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</si>
  <si>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</si>
  <si>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</si>
  <si>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</si>
  <si>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</si>
  <si>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</si>
  <si>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</si>
  <si>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</si>
  <si>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</si>
  <si>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</si>
  <si>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</si>
  <si>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</si>
  <si>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</si>
  <si>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</si>
  <si>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</si>
  <si>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</si>
  <si>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</si>
  <si>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</si>
  <si>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</si>
  <si>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</si>
  <si>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</si>
  <si>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</si>
  <si>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</si>
  <si>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</si>
  <si>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</si>
  <si>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</si>
  <si>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</si>
  <si>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</si>
  <si>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</si>
  <si>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</si>
  <si>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</si>
  <si>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</si>
  <si>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</si>
  <si>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</si>
  <si>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</si>
  <si>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</si>
  <si>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</si>
  <si>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</si>
  <si>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</si>
  <si>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</si>
  <si>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</si>
  <si>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</si>
  <si>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</si>
  <si>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</si>
  <si>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</si>
  <si>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</si>
  <si>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</si>
  <si>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</si>
  <si>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</si>
  <si>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</si>
  <si>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</si>
  <si>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</si>
  <si>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</si>
  <si>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</si>
  <si>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</si>
  <si>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</si>
  <si>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</si>
  <si>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</si>
  <si>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</si>
  <si>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</si>
  <si>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</si>
  <si>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</si>
  <si>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</si>
  <si>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</si>
  <si>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</si>
  <si>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</si>
  <si>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</si>
  <si>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</si>
  <si>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</si>
  <si>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</si>
  <si>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</si>
  <si>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</si>
  <si>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</si>
  <si>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</si>
  <si>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</si>
  <si>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</si>
  <si>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</si>
  <si>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</si>
  <si>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</si>
  <si>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</si>
  <si>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</si>
  <si>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</si>
  <si>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</si>
  <si>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</si>
  <si>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</si>
  <si>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</si>
  <si>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</si>
  <si>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</si>
  <si>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</si>
  <si>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</si>
  <si>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</si>
  <si>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</si>
  <si>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</si>
  <si>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</si>
  <si>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</si>
  <si>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</si>
  <si>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</si>
  <si>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</si>
  <si>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</si>
  <si>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</si>
  <si>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</si>
  <si>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</si>
  <si>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</si>
  <si>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</si>
  <si>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</si>
  <si>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</si>
  <si>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</si>
  <si>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</si>
  <si>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</si>
  <si>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</si>
  <si>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</si>
  <si>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</si>
  <si>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</si>
  <si>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</si>
  <si>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</si>
  <si>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</si>
  <si>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</si>
  <si>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</si>
  <si>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</si>
  <si>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</si>
  <si>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</si>
  <si>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</si>
  <si>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</si>
  <si>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</si>
  <si>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</si>
  <si>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</si>
  <si>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</si>
  <si>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</si>
  <si>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</si>
  <si>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</si>
  <si>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</si>
  <si>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</si>
  <si>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</si>
  <si>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</si>
  <si>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</si>
  <si>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</si>
  <si>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</si>
  <si>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</si>
  <si>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</si>
  <si>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</si>
  <si>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</si>
  <si>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</si>
  <si>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</si>
  <si>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</si>
  <si>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</si>
  <si>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</si>
  <si>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</si>
  <si>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</si>
  <si>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</si>
  <si>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</si>
  <si>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</si>
  <si>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</si>
  <si>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</si>
  <si>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</si>
  <si>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</si>
  <si>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</si>
  <si>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</si>
  <si>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</si>
  <si>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</si>
  <si>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</si>
  <si>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</si>
  <si>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</si>
  <si>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</si>
  <si>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</si>
  <si>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</si>
  <si>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</si>
  <si>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</si>
  <si>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</si>
  <si>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</si>
  <si>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</si>
  <si>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</si>
  <si>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</si>
  <si>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</si>
  <si>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</si>
  <si>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</si>
  <si>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</si>
  <si>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</si>
  <si>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</si>
  <si>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</si>
  <si>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</si>
  <si>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</si>
  <si>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</si>
  <si>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</si>
  <si>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</si>
  <si>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</si>
  <si>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</si>
  <si>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</si>
  <si>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</si>
  <si>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</si>
  <si>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</si>
  <si>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</si>
  <si>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</si>
  <si>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</si>
  <si>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</si>
  <si>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</si>
  <si>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</si>
  <si>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</si>
  <si>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</si>
  <si>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</si>
  <si>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</si>
  <si>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</si>
  <si>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</si>
  <si>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</si>
  <si>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</si>
  <si>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</si>
  <si>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</si>
  <si>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</si>
  <si>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</si>
  <si>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</si>
  <si>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</si>
  <si>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</si>
  <si>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</si>
  <si>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</si>
  <si>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</si>
  <si>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</si>
  <si>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</si>
  <si>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</si>
  <si>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</si>
  <si>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</si>
  <si>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</si>
  <si>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</si>
  <si>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</si>
  <si>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</si>
  <si>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</si>
  <si>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</si>
  <si>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</si>
  <si>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</si>
  <si>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</si>
  <si>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</si>
  <si>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</si>
  <si>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</si>
  <si>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</si>
  <si>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</si>
  <si>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</si>
  <si>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</si>
  <si>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</si>
  <si>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</si>
  <si>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</si>
  <si>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</si>
  <si>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</si>
  <si>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</si>
  <si>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</si>
  <si>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</si>
  <si>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</si>
  <si>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</si>
  <si>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</si>
  <si>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</si>
  <si>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</si>
  <si>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</si>
  <si>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</si>
  <si>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</si>
  <si>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</si>
  <si>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</si>
  <si>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</si>
  <si>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</si>
  <si>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</si>
  <si>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</si>
  <si>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</si>
  <si>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</si>
  <si>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</si>
  <si>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</si>
  <si>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</si>
  <si>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</si>
  <si>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</si>
  <si>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</si>
  <si>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</si>
  <si>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</si>
  <si>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</si>
  <si>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</si>
  <si>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</si>
  <si>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</si>
  <si>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</si>
  <si>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</si>
  <si>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</si>
  <si>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</si>
  <si>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</si>
  <si>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</si>
  <si>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</si>
  <si>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</si>
  <si>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</si>
  <si>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</si>
  <si>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</si>
  <si>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</si>
  <si>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</si>
  <si>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</si>
  <si>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</si>
  <si>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</si>
  <si>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</si>
  <si>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</si>
  <si>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</si>
  <si>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</si>
  <si>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</si>
  <si>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</si>
  <si>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</si>
  <si>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</si>
  <si>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</si>
  <si>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</si>
  <si>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</si>
  <si>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</si>
  <si>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</si>
  <si>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</si>
  <si>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</si>
  <si>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</si>
  <si>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</si>
  <si>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</si>
  <si>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</si>
  <si>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</si>
  <si>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</si>
  <si>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</si>
  <si>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</si>
  <si>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</si>
  <si>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</si>
  <si>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</si>
  <si>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</si>
  <si>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</si>
  <si>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</si>
  <si>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</si>
  <si>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</si>
  <si>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</si>
  <si>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</si>
  <si>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</si>
  <si>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</si>
  <si>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</si>
  <si>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</si>
  <si>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</si>
  <si>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</si>
  <si>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</si>
  <si>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</si>
  <si>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</si>
  <si>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</si>
  <si>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</si>
  <si>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</si>
  <si>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</si>
  <si>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</si>
  <si>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</si>
  <si>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</si>
  <si>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</si>
  <si>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</si>
  <si>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</si>
  <si>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</si>
  <si>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</si>
  <si>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</si>
  <si>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</si>
  <si>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</si>
  <si>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</si>
  <si>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</si>
  <si>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</si>
  <si>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</si>
  <si>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</si>
  <si>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</si>
  <si>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</si>
  <si>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</si>
  <si>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</si>
  <si>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</si>
  <si>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</si>
  <si>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</si>
  <si>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</si>
  <si>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</si>
  <si>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</si>
  <si>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</si>
  <si>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</si>
  <si>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</si>
  <si>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</si>
  <si>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</si>
  <si>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</si>
  <si>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</si>
  <si>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</si>
  <si>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</si>
  <si>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</si>
  <si>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</si>
  <si>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</si>
  <si>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</si>
  <si>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</si>
  <si>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</si>
  <si>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</si>
  <si>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</si>
  <si>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</si>
  <si>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</si>
  <si>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</si>
  <si>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</si>
  <si>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</si>
  <si>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</si>
  <si>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</si>
  <si>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</si>
  <si>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</si>
  <si>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</si>
  <si>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</si>
  <si>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</si>
  <si>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</si>
  <si>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</si>
  <si>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</si>
  <si>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</si>
  <si>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</si>
  <si>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</si>
  <si>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</si>
  <si>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</si>
  <si>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</si>
  <si>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</si>
  <si>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</si>
  <si>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</si>
  <si>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</si>
  <si>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</si>
  <si>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</si>
  <si>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</si>
  <si>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</si>
  <si>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</si>
  <si>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</si>
  <si>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</si>
  <si>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</si>
  <si>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</si>
  <si>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</si>
  <si>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</si>
  <si>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</si>
  <si>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</si>
  <si>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</si>
  <si>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</si>
  <si>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</si>
  <si>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</si>
  <si>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</si>
  <si>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</si>
  <si>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</si>
  <si>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</si>
  <si>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</si>
  <si>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</si>
  <si>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</si>
  <si>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</si>
  <si>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</si>
  <si>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</si>
  <si>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</si>
  <si>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</si>
  <si>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</si>
  <si>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</si>
  <si>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</si>
  <si>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</si>
  <si>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</si>
  <si>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</si>
  <si>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</si>
  <si>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</si>
  <si>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</si>
  <si>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</si>
  <si>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</si>
  <si>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</si>
  <si>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</si>
  <si>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</si>
  <si>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</si>
  <si>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</si>
  <si>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</si>
  <si>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</si>
  <si>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</si>
  <si>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</si>
  <si>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</si>
  <si>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</si>
  <si>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</si>
  <si>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</si>
  <si>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</si>
  <si>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</si>
  <si>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</si>
  <si>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</si>
  <si>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</si>
  <si>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</si>
  <si>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</si>
  <si>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</si>
  <si>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</si>
  <si>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</si>
  <si>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</si>
  <si>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</si>
  <si>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</si>
  <si>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</si>
  <si>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</si>
  <si>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</si>
  <si>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</si>
  <si>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</si>
  <si>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</si>
  <si>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</si>
  <si>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</si>
  <si>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</si>
  <si>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</si>
  <si>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</si>
  <si>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</si>
  <si>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</si>
  <si>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</si>
  <si>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</si>
  <si>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</si>
  <si>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</si>
  <si>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</si>
  <si>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</si>
  <si>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</si>
  <si>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</si>
  <si>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</si>
  <si>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</si>
  <si>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</si>
  <si>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</si>
  <si>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</si>
  <si>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</si>
  <si>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</si>
  <si>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</si>
  <si>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</si>
  <si>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</si>
  <si>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</si>
  <si>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</si>
  <si>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</si>
  <si>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</si>
  <si>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</si>
  <si>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</si>
  <si>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</si>
  <si>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</si>
  <si>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</si>
  <si>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</si>
  <si>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</si>
  <si>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</si>
  <si>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</si>
  <si>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</si>
  <si>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</si>
  <si>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</si>
  <si>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</si>
  <si>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</si>
  <si>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</si>
  <si>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</si>
  <si>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</si>
  <si>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</si>
  <si>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</si>
  <si>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</si>
  <si>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</si>
  <si>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</si>
  <si>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</si>
  <si>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</si>
  <si>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</si>
  <si>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</si>
  <si>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</si>
  <si>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</si>
  <si>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</si>
  <si>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</si>
  <si>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</si>
  <si>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</si>
  <si>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</si>
  <si>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</si>
  <si>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</si>
  <si>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</si>
  <si>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</si>
  <si>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</si>
  <si>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</si>
  <si>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</si>
  <si>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</si>
  <si>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</si>
  <si>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</si>
  <si>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</si>
  <si>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</si>
  <si>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</si>
  <si>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</si>
  <si>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</si>
  <si>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</si>
  <si>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</si>
  <si>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</si>
  <si>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</si>
  <si>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</si>
  <si>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</si>
  <si>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</si>
  <si>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</si>
  <si>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</si>
  <si>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</si>
  <si>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</si>
  <si>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</si>
  <si>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</si>
  <si>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</si>
  <si>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</si>
  <si>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</si>
  <si>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</si>
  <si>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</si>
  <si>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</si>
  <si>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</si>
  <si>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</si>
  <si>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</si>
  <si>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</si>
  <si>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</si>
  <si>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</si>
  <si>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</si>
  <si>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</si>
  <si>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</si>
  <si>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</si>
  <si>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</si>
  <si>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</si>
  <si>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</si>
  <si>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</si>
  <si>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</si>
  <si>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</si>
  <si>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</si>
  <si>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</si>
  <si>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</si>
  <si>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</si>
  <si>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</si>
  <si>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</si>
  <si>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</si>
  <si>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</si>
  <si>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</si>
  <si>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</si>
  <si>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</si>
  <si>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</si>
  <si>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</si>
  <si>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</si>
  <si>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</si>
  <si>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</si>
  <si>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</si>
  <si>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</si>
  <si>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</si>
  <si>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</si>
  <si>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</si>
  <si>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</si>
  <si>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</si>
  <si>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</si>
  <si>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</si>
  <si>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</si>
  <si>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</si>
  <si>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</si>
  <si>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</si>
  <si>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</si>
  <si>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</si>
  <si>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</si>
  <si>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</si>
  <si>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</si>
  <si>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</si>
  <si>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</si>
  <si>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</si>
  <si>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</si>
  <si>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</si>
  <si>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</si>
  <si>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</si>
  <si>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</si>
  <si>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</si>
  <si>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</si>
  <si>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</si>
  <si>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</si>
  <si>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</si>
  <si>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</si>
  <si>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</si>
  <si>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</si>
  <si>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</si>
  <si>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</si>
  <si>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</si>
  <si>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</si>
  <si>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</si>
  <si>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</si>
  <si>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</si>
  <si>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</si>
  <si>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</si>
  <si>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</si>
  <si>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</si>
  <si>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</si>
  <si>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</si>
  <si>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</si>
  <si>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</si>
  <si>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</si>
  <si>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</si>
  <si>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</si>
  <si>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</si>
  <si>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</si>
  <si>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</si>
  <si>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</si>
  <si>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</si>
  <si>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</si>
  <si>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</si>
  <si>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</si>
  <si>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</si>
  <si>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</si>
  <si>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</si>
  <si>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</si>
  <si>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</si>
  <si>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</si>
  <si>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</si>
  <si>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</si>
  <si>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</si>
  <si>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</si>
  <si>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</si>
  <si>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</si>
  <si>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</si>
  <si>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</si>
  <si>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</si>
  <si>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</si>
  <si>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</si>
  <si>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</si>
  <si>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</si>
  <si>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</si>
  <si>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</si>
  <si>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</si>
  <si>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</si>
  <si>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</si>
  <si>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</si>
  <si>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</si>
  <si>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</si>
  <si>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</si>
  <si>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</si>
  <si>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</si>
  <si>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</si>
  <si>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</si>
  <si>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</si>
  <si>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</si>
  <si>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</si>
  <si>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</si>
  <si>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</si>
  <si>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</si>
  <si>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</si>
  <si>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</si>
  <si>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</si>
  <si>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</si>
  <si>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</si>
  <si>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</si>
  <si>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</si>
  <si>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</si>
  <si>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</si>
  <si>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</si>
  <si>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</si>
  <si>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</si>
  <si>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</si>
  <si>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</si>
  <si>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</si>
  <si>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</si>
  <si>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</si>
  <si>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</si>
  <si>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</si>
  <si>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</si>
  <si>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</si>
  <si>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</si>
  <si>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</si>
  <si>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</si>
  <si>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</si>
  <si>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</si>
  <si>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</si>
  <si>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</si>
  <si>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</si>
  <si>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</si>
  <si>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</si>
  <si>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</si>
  <si>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</si>
  <si>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</si>
  <si>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</si>
  <si>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</si>
  <si>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</si>
  <si>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</si>
  <si>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</si>
  <si>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</si>
  <si>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</si>
  <si>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</si>
  <si>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</si>
  <si>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</si>
  <si>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</si>
  <si>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</si>
  <si>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</si>
  <si>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</si>
  <si>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</si>
  <si>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</si>
  <si>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</si>
  <si>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</si>
  <si>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</si>
  <si>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</si>
  <si>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</si>
  <si>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</si>
  <si>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</si>
  <si>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</si>
  <si>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</si>
  <si>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</si>
  <si>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</si>
  <si>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</si>
  <si>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</si>
  <si>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</si>
  <si>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</si>
  <si>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</si>
  <si>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</si>
  <si>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</si>
  <si>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</si>
  <si>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</si>
  <si>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</si>
  <si>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</si>
  <si>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</si>
  <si>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</si>
  <si>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</si>
  <si>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</si>
  <si>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</si>
  <si>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</si>
  <si>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</si>
  <si>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</si>
  <si>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</si>
  <si>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</si>
  <si>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</si>
  <si>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</si>
  <si>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</si>
  <si>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</si>
  <si>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</si>
  <si>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</si>
  <si>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</si>
  <si>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</si>
  <si>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</si>
  <si>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</si>
  <si>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</si>
  <si>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</si>
  <si>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</si>
  <si>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</si>
  <si>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</si>
  <si>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</si>
  <si>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</si>
  <si>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</si>
  <si>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</si>
  <si>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</si>
  <si>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</si>
  <si>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</si>
  <si>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</si>
  <si>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</si>
  <si>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</si>
  <si>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</si>
  <si>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</si>
  <si>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</si>
  <si>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</si>
  <si>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</si>
  <si>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</si>
  <si>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</si>
  <si>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</si>
  <si>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</si>
  <si>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</si>
  <si>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</si>
  <si>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</si>
  <si>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</si>
  <si>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</si>
  <si>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</si>
  <si>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</si>
  <si>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</si>
  <si>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</si>
  <si>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</si>
  <si>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</si>
  <si>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</si>
  <si>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</si>
  <si>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</si>
  <si>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</si>
  <si>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</si>
  <si>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</si>
  <si>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</si>
  <si>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</si>
  <si>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</si>
  <si>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</si>
  <si>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</si>
  <si>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</si>
  <si>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</si>
  <si>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</si>
  <si>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</si>
  <si>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</si>
  <si>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</si>
  <si>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</si>
  <si>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</si>
  <si>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</si>
  <si>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</si>
  <si>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</si>
  <si>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</si>
  <si>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</si>
  <si>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</si>
  <si>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</si>
  <si>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</si>
  <si>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</si>
  <si>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</si>
  <si>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</si>
  <si>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</si>
  <si>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</si>
  <si>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</si>
  <si>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</si>
  <si>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</si>
  <si>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</si>
  <si>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</si>
  <si>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</si>
  <si>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</si>
  <si>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</si>
  <si>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</si>
  <si>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</si>
  <si>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</si>
  <si>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</si>
  <si>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</si>
  <si>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</si>
  <si>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</si>
  <si>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</si>
  <si>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</si>
  <si>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</si>
  <si>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</si>
  <si>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</si>
  <si>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</si>
  <si>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</si>
  <si>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</si>
  <si>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</si>
  <si>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</si>
  <si>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</si>
  <si>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</si>
  <si>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</si>
  <si>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</si>
  <si>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</si>
  <si>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</si>
  <si>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</si>
  <si>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</si>
  <si>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</si>
  <si>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</si>
  <si>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</si>
  <si>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</si>
  <si>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</si>
  <si>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</si>
  <si>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</si>
  <si>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</si>
  <si>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</si>
  <si>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</si>
  <si>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</si>
  <si>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</si>
  <si>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</si>
  <si>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</si>
  <si>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</si>
  <si>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</si>
  <si>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</si>
  <si>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</si>
  <si>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</si>
  <si>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</si>
  <si>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</si>
  <si>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</si>
  <si>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</si>
  <si>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</si>
  <si>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</si>
  <si>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</si>
  <si>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</si>
  <si>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</si>
  <si>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</si>
  <si>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</si>
  <si>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</si>
  <si>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</si>
  <si>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</si>
  <si>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</si>
  <si>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</si>
  <si>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</si>
  <si>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</si>
  <si>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</si>
  <si>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</si>
  <si>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</si>
  <si>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</si>
  <si>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</si>
  <si>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</si>
  <si>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</si>
  <si>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</si>
  <si>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</si>
  <si>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</si>
  <si>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</si>
  <si>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</si>
  <si>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</si>
  <si>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</si>
  <si>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</si>
  <si>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</si>
  <si>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</si>
  <si>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</si>
  <si>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</si>
  <si>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</si>
  <si>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</si>
  <si>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</si>
  <si>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</si>
  <si>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</si>
  <si>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</si>
  <si>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</si>
  <si>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</si>
  <si>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</si>
  <si>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</si>
  <si>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</si>
  <si>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</si>
  <si>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</si>
  <si>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</si>
  <si>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</si>
  <si>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</si>
  <si>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</si>
  <si>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</si>
  <si>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</si>
  <si>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</si>
  <si>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</si>
  <si>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</si>
  <si>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</si>
  <si>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</si>
  <si>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</si>
  <si>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</si>
  <si>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</si>
  <si>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</si>
  <si>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</si>
  <si>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</si>
  <si>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</si>
  <si>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</si>
  <si>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</si>
  <si>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</si>
  <si>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</si>
  <si>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</si>
  <si>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</si>
  <si>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</si>
  <si>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</si>
  <si>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</si>
  <si>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</si>
  <si>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</si>
  <si>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</si>
  <si>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</si>
  <si>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</si>
  <si>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</si>
  <si>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</si>
  <si>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</si>
  <si>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</si>
  <si>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</si>
  <si>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</si>
  <si>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</si>
  <si>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</si>
  <si>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</si>
  <si>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</si>
  <si>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</si>
  <si>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</si>
  <si>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</si>
  <si>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</si>
  <si>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</si>
  <si>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</si>
  <si>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</si>
  <si>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</si>
  <si>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</si>
  <si>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</si>
  <si>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</si>
  <si>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</si>
  <si>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</si>
  <si>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</si>
  <si>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</si>
  <si>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</si>
  <si>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</si>
  <si>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</si>
  <si>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</si>
  <si>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</si>
  <si>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</si>
  <si>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</si>
  <si>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</si>
  <si>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</si>
  <si>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</si>
  <si>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</si>
  <si>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</si>
  <si>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</si>
  <si>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</si>
  <si>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</si>
  <si>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</si>
  <si>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</si>
  <si>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</si>
  <si>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</si>
  <si>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</si>
  <si>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</si>
  <si>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</si>
  <si>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</si>
  <si>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</si>
  <si>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</si>
  <si>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</si>
  <si>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</si>
  <si>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</si>
  <si>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</si>
  <si>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</si>
  <si>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</si>
  <si>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</si>
  <si>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</si>
  <si>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</si>
  <si>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</si>
  <si>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</si>
  <si>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</si>
  <si>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</si>
  <si>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</si>
  <si>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</si>
  <si>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</si>
  <si>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</si>
  <si>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</si>
  <si>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</si>
  <si>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</si>
  <si>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</si>
  <si>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</si>
  <si>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</si>
  <si>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</si>
  <si>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</si>
  <si>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</si>
  <si>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</si>
  <si>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</si>
  <si>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</si>
  <si>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</si>
  <si>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</si>
  <si>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</si>
  <si>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</si>
  <si>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</si>
  <si>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</si>
  <si>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</si>
  <si>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</si>
  <si>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</si>
  <si>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</si>
  <si>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</si>
  <si>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</si>
  <si>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</si>
  <si>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</si>
  <si>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</si>
  <si>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</si>
  <si>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</si>
  <si>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</si>
  <si>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</si>
  <si>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</si>
  <si>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</si>
  <si>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</si>
  <si>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</si>
  <si>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</si>
  <si>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</si>
  <si>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</si>
  <si>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</si>
  <si>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</si>
  <si>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</si>
  <si>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</si>
  <si>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</si>
  <si>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</si>
  <si>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</si>
  <si>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</si>
  <si>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</si>
  <si>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</si>
  <si>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</si>
  <si>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</si>
  <si>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</si>
  <si>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</si>
  <si>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</si>
  <si>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</si>
  <si>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</si>
  <si>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</si>
  <si>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</si>
  <si>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</si>
  <si>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</si>
  <si>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</si>
  <si>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</si>
  <si>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</si>
  <si>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</si>
  <si>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</si>
  <si>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</si>
  <si>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</si>
  <si>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</si>
  <si>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</si>
  <si>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</si>
  <si>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</si>
  <si>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</si>
  <si>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</si>
  <si>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</si>
  <si>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</si>
  <si>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</si>
  <si>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</si>
  <si>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</si>
  <si>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</si>
  <si>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</si>
  <si>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</si>
  <si>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</si>
  <si>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</si>
  <si>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</si>
  <si>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</si>
  <si>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</si>
  <si>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</si>
  <si>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</si>
  <si>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</si>
  <si>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</si>
  <si>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</si>
  <si>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</si>
  <si>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</si>
  <si>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</si>
  <si>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</si>
  <si>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</si>
  <si>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</si>
  <si>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</si>
  <si>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</si>
  <si>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</si>
  <si>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</si>
  <si>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</si>
  <si>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</si>
  <si>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</si>
  <si>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</si>
  <si>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</si>
  <si>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</si>
  <si>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</si>
  <si>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</si>
  <si>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</si>
  <si>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</si>
  <si>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</si>
  <si>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</si>
  <si>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</si>
  <si>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</si>
  <si>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</si>
  <si>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</si>
  <si>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</si>
  <si>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</si>
  <si>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</si>
  <si>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</si>
  <si>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</si>
  <si>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</si>
  <si>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</si>
  <si>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</si>
  <si>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</si>
  <si>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</si>
  <si>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</si>
  <si>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</si>
  <si>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</si>
  <si>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</si>
  <si>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</si>
  <si>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</si>
  <si>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</si>
  <si>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</si>
  <si>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</si>
  <si>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</si>
  <si>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</si>
  <si>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</si>
  <si>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</si>
  <si>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</si>
  <si>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</si>
  <si>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</si>
  <si>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</si>
  <si>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</si>
  <si>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</si>
  <si>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</si>
  <si>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</si>
  <si>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</si>
  <si>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</si>
  <si>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</si>
  <si>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</si>
  <si>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</si>
  <si>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</si>
  <si>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</si>
  <si>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</si>
  <si>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</si>
  <si>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</si>
  <si>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</si>
  <si>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</si>
  <si>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</si>
  <si>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</si>
  <si>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</si>
  <si>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</si>
  <si>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</si>
  <si>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</si>
  <si>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</si>
  <si>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</si>
  <si>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</si>
  <si>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</si>
  <si>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</si>
  <si>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</si>
  <si>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</si>
  <si>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</si>
  <si>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</si>
  <si>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</si>
  <si>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</si>
  <si>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</si>
  <si>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</si>
  <si>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</si>
  <si>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</si>
  <si>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</si>
  <si>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</si>
  <si>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</si>
  <si>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</si>
  <si>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</si>
  <si>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</si>
  <si>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</si>
  <si>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</si>
  <si>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</si>
  <si>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</si>
  <si>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</si>
  <si>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</si>
  <si>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</si>
  <si>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</si>
  <si>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</si>
  <si>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</si>
  <si>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</si>
  <si>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</si>
  <si>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</si>
  <si>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</si>
  <si>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</si>
  <si>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</si>
  <si>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</si>
  <si>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</si>
  <si>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</si>
  <si>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</si>
  <si>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</si>
  <si>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</si>
  <si>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</si>
  <si>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</si>
  <si>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</si>
  <si>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</si>
  <si>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</si>
  <si>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</si>
  <si>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</si>
  <si>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</si>
  <si>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</si>
  <si>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</si>
  <si>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</si>
  <si>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</si>
  <si>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</si>
  <si>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</si>
  <si>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</si>
  <si>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</si>
  <si>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</si>
  <si>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</si>
  <si>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</si>
  <si>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</si>
  <si>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</si>
  <si>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</si>
  <si>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</si>
  <si>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</si>
  <si>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</si>
  <si>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</si>
  <si>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</si>
  <si>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</si>
  <si>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</si>
  <si>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</si>
  <si>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</si>
  <si>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</si>
  <si>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</si>
  <si>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</si>
  <si>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</si>
  <si>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</si>
  <si>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</si>
  <si>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</si>
  <si>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</si>
  <si>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</si>
  <si>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</si>
  <si>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</si>
  <si>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</si>
  <si>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</si>
  <si>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</si>
  <si>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</si>
  <si>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</si>
  <si>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</si>
  <si>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</si>
  <si>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</si>
  <si>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</si>
  <si>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</si>
  <si>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</si>
  <si>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</si>
  <si>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</si>
  <si>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</si>
  <si>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</si>
  <si>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</si>
  <si>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</si>
  <si>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</si>
  <si>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</si>
  <si>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</si>
  <si>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</si>
  <si>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</si>
  <si>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</si>
  <si>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</si>
  <si>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</si>
  <si>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</si>
  <si>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</si>
  <si>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</si>
  <si>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</si>
  <si>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</si>
  <si>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</si>
  <si>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</si>
  <si>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</si>
  <si>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</si>
  <si>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</si>
  <si>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</si>
  <si>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</si>
  <si>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</si>
  <si>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</si>
  <si>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</si>
  <si>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</si>
  <si>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</si>
  <si>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</si>
  <si>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</si>
  <si>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</si>
  <si>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</si>
  <si>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</si>
  <si>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</si>
  <si>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</si>
  <si>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</si>
  <si>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</si>
  <si>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</si>
  <si>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</si>
  <si>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</si>
  <si>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</si>
  <si>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</si>
  <si>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</si>
  <si>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</si>
  <si>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</si>
  <si>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</si>
  <si>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</si>
  <si>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</si>
  <si>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</si>
  <si>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</si>
  <si>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</si>
  <si>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</si>
  <si>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</si>
  <si>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</si>
  <si>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</si>
  <si>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</si>
  <si>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</si>
  <si>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</si>
  <si>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</si>
  <si>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</si>
  <si>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</si>
  <si>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</si>
  <si>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</si>
  <si>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</si>
  <si>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</si>
  <si>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</si>
  <si>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</si>
  <si>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</si>
  <si>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</si>
  <si>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</si>
  <si>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</si>
  <si>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</si>
  <si>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</si>
  <si>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</si>
  <si>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</si>
  <si>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</si>
  <si>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</si>
  <si>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</si>
  <si>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</si>
  <si>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</si>
  <si>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</si>
  <si>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</si>
  <si>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</si>
  <si>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</si>
  <si>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</si>
  <si>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</si>
  <si>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</si>
  <si>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</si>
  <si>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</si>
  <si>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</si>
  <si>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</si>
  <si>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</si>
  <si>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</si>
  <si>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</si>
  <si>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</si>
  <si>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</si>
  <si>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</si>
  <si>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</si>
  <si>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</si>
  <si>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</si>
  <si>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</si>
  <si>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</si>
  <si>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</si>
  <si>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</si>
  <si>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</si>
  <si>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</si>
  <si>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</si>
  <si>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</si>
  <si>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</si>
  <si>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</si>
  <si>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</si>
  <si>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</si>
  <si>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</si>
  <si>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</si>
  <si>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</si>
  <si>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</si>
  <si>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</si>
  <si>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</si>
  <si>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</si>
  <si>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</si>
  <si>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</si>
  <si>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</si>
  <si>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</si>
  <si>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</si>
  <si>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</si>
  <si>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</si>
  <si>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</si>
  <si>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</si>
  <si>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</si>
  <si>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</si>
  <si>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</si>
  <si>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</si>
  <si>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</si>
  <si>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</si>
  <si>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</si>
  <si>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</si>
  <si>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</si>
  <si>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</si>
  <si>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</si>
  <si>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</si>
  <si>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</si>
  <si>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</si>
  <si>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</si>
  <si>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</si>
  <si>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</si>
  <si>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</si>
  <si>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</si>
  <si>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</si>
  <si>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</si>
  <si>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</si>
  <si>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</si>
  <si>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</si>
  <si>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</si>
  <si>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</si>
  <si>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</si>
  <si>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</si>
  <si>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</si>
  <si>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</si>
  <si>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</si>
  <si>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</si>
  <si>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</si>
  <si>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</si>
  <si>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</si>
  <si>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</si>
  <si>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</si>
  <si>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</si>
  <si>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</si>
  <si>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</si>
  <si>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</si>
  <si>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</si>
  <si>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</si>
  <si>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</si>
  <si>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</si>
  <si>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</si>
  <si>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</si>
  <si>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</si>
  <si>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</si>
  <si>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</si>
  <si>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</si>
  <si>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</si>
  <si>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</si>
  <si>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</si>
  <si>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</si>
  <si>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</si>
  <si>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</si>
  <si>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</si>
  <si>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</si>
  <si>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</si>
  <si>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</si>
  <si>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</si>
  <si>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</si>
  <si>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</si>
  <si>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</si>
  <si>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</si>
  <si>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</si>
  <si>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</si>
  <si>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</si>
  <si>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</si>
  <si>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</si>
  <si>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</si>
  <si>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</si>
  <si>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</si>
  <si>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</si>
  <si>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</si>
  <si>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</si>
  <si>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</si>
  <si>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</si>
  <si>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</si>
  <si>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</si>
  <si>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</si>
  <si>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</si>
  <si>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</si>
  <si>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</si>
  <si>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</si>
  <si>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</si>
  <si>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</si>
  <si>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</si>
  <si>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</si>
  <si>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</si>
  <si>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</si>
  <si>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</si>
  <si>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</si>
  <si>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</si>
  <si>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</si>
  <si>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</si>
  <si>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</si>
  <si>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</si>
  <si>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</si>
  <si>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</si>
  <si>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</si>
  <si>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</si>
  <si>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</si>
  <si>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</si>
  <si>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</si>
  <si>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</si>
  <si>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</si>
  <si>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</si>
  <si>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</si>
  <si>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</si>
  <si>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</si>
  <si>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</si>
  <si>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</si>
  <si>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</si>
  <si>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</si>
  <si>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</si>
  <si>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</si>
  <si>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</si>
  <si>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</si>
  <si>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</si>
  <si>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</si>
  <si>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</si>
  <si>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</si>
  <si>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</si>
  <si>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</si>
  <si>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</si>
  <si>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</si>
  <si>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</si>
  <si>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</si>
  <si>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</si>
  <si>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</si>
  <si>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</si>
  <si>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</si>
  <si>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</si>
  <si>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</si>
  <si>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</si>
  <si>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</si>
  <si>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</si>
  <si>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</si>
  <si>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</si>
  <si>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</si>
  <si>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</si>
  <si>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</si>
  <si>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</si>
  <si>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</si>
  <si>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</si>
  <si>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</si>
  <si>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</si>
  <si>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</si>
  <si>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</si>
  <si>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</si>
  <si>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</si>
  <si>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</si>
  <si>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</si>
  <si>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</si>
  <si>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</si>
  <si>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</si>
  <si>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</si>
  <si>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</si>
  <si>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</si>
  <si>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</si>
  <si>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</si>
  <si>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</si>
  <si>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</si>
  <si>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</si>
  <si>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</si>
  <si>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</si>
  <si>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</si>
  <si>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</si>
  <si>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</si>
  <si>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</si>
  <si>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</si>
  <si>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</si>
  <si>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</si>
  <si>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</si>
  <si>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</si>
  <si>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</si>
  <si>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</si>
  <si>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</si>
  <si>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</si>
  <si>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</si>
  <si>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</si>
  <si>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</si>
  <si>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</si>
  <si>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</si>
  <si>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</si>
  <si>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</si>
  <si>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</si>
  <si>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</si>
  <si>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</si>
  <si>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</si>
  <si>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</si>
  <si>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</si>
  <si>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</si>
  <si>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</si>
  <si>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</si>
  <si>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</si>
  <si>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</si>
  <si>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</si>
  <si>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</si>
  <si>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</si>
  <si>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</si>
  <si>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</si>
  <si>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</si>
  <si>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</si>
  <si>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</si>
  <si>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</si>
  <si>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</si>
  <si>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</si>
  <si>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</si>
  <si>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</si>
  <si>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</si>
  <si>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</si>
  <si>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</si>
  <si>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</si>
  <si>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</si>
  <si>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</si>
  <si>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</si>
  <si>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</si>
  <si>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</si>
  <si>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</si>
  <si>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</si>
  <si>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</si>
  <si>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</si>
  <si>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</si>
  <si>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</si>
  <si>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</si>
  <si>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</si>
  <si>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</si>
  <si>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</si>
  <si>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</si>
  <si>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</si>
  <si>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</si>
  <si>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</si>
  <si>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</si>
  <si>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</si>
  <si>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</si>
  <si>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</si>
  <si>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</si>
  <si>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</si>
  <si>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</si>
  <si>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</si>
  <si>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</si>
  <si>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</si>
  <si>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</si>
  <si>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</si>
  <si>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</si>
  <si>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</si>
  <si>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</si>
  <si>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</si>
  <si>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</si>
  <si>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</si>
  <si>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</si>
  <si>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</si>
  <si>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</si>
  <si>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</si>
  <si>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</si>
  <si>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</si>
  <si>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</si>
  <si>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</si>
  <si>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</si>
  <si>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</si>
  <si>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</si>
  <si>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</si>
  <si>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</si>
  <si>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</si>
  <si>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</si>
  <si>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</si>
  <si>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</si>
  <si>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</si>
  <si>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</si>
  <si>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</si>
  <si>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</si>
  <si>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</si>
  <si>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</si>
  <si>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</si>
  <si>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</si>
  <si>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</si>
  <si>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</si>
  <si>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</si>
  <si>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</si>
  <si>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</si>
  <si>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</si>
  <si>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</si>
  <si>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</si>
  <si>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</si>
  <si>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</si>
  <si>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</si>
  <si>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</si>
  <si>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</si>
  <si>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</si>
  <si>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</si>
  <si>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</si>
  <si>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</si>
  <si>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</si>
  <si>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</si>
  <si>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</si>
  <si>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</si>
  <si>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</si>
  <si>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</si>
  <si>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</si>
  <si>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</si>
  <si>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</si>
  <si>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</si>
  <si>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</si>
  <si>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</si>
  <si>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</si>
  <si>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</si>
  <si>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</si>
  <si>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</si>
  <si>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</si>
  <si>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</si>
  <si>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</si>
  <si>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</si>
  <si>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</si>
  <si>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</si>
  <si>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</si>
  <si>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</si>
  <si>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</si>
  <si>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</si>
  <si>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</si>
  <si>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</si>
  <si>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</si>
  <si>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</si>
  <si>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</si>
  <si>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</si>
  <si>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</si>
  <si>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</si>
  <si>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</si>
  <si>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</si>
  <si>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</si>
  <si>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</si>
  <si>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</si>
  <si>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</si>
  <si>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</si>
  <si>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</si>
  <si>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</si>
  <si>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</si>
  <si>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</si>
  <si>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</si>
  <si>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</si>
  <si>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</si>
  <si>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</si>
  <si>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</si>
  <si>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</si>
  <si>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</si>
  <si>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</si>
  <si>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</si>
  <si>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</si>
  <si>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</si>
  <si>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</si>
  <si>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</si>
  <si>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</si>
  <si>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</si>
  <si>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</si>
  <si>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</si>
  <si>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</si>
  <si>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</si>
  <si>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</si>
  <si>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</si>
  <si>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</si>
  <si>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</si>
  <si>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</si>
  <si>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</si>
  <si>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</si>
  <si>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</si>
  <si>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</si>
  <si>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</si>
  <si>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</si>
  <si>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</si>
  <si>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</si>
  <si>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</si>
  <si>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</si>
  <si>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</si>
  <si>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</si>
  <si>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</si>
  <si>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</si>
  <si>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</si>
  <si>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</si>
  <si>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</si>
  <si>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</si>
  <si>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</si>
  <si>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</si>
  <si>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</si>
  <si>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</si>
  <si>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</si>
  <si>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</si>
  <si>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</si>
  <si>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</si>
  <si>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</si>
  <si>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</si>
  <si>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</si>
  <si>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</si>
  <si>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</si>
  <si>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</si>
  <si>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</si>
  <si>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</si>
  <si>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</si>
  <si>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</si>
  <si>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</si>
  <si>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</si>
  <si>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</si>
  <si>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</si>
  <si>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</si>
  <si>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</si>
  <si>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</si>
  <si>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</si>
  <si>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</si>
  <si>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</si>
  <si>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</si>
  <si>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</si>
  <si>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</si>
  <si>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</si>
  <si>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</si>
  <si>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</si>
  <si>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</si>
  <si>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</si>
  <si>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</si>
  <si>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</si>
  <si>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</si>
  <si>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</si>
  <si>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</si>
  <si>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</si>
  <si>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</si>
  <si>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</si>
  <si>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</si>
  <si>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</si>
  <si>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</si>
  <si>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</si>
  <si>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</si>
  <si>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</si>
  <si>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</si>
  <si>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</si>
  <si>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</si>
  <si>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</si>
  <si>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</si>
  <si>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</si>
  <si>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</si>
  <si>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</si>
  <si>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</si>
  <si>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</si>
  <si>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</si>
  <si>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</si>
  <si>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</si>
  <si>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</si>
  <si>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</si>
  <si>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</si>
  <si>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</si>
  <si>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</si>
  <si>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</si>
  <si>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</si>
  <si>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</si>
  <si>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</si>
  <si>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</si>
  <si>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</si>
  <si>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</si>
  <si>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</si>
  <si>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</si>
  <si>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</si>
  <si>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</si>
  <si>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</si>
  <si>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</si>
  <si>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</si>
  <si>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</si>
  <si>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</si>
  <si>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</si>
  <si>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</si>
  <si>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</si>
  <si>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</si>
  <si>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</si>
  <si>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</si>
  <si>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</si>
  <si>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</si>
  <si>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</si>
  <si>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</si>
  <si>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</si>
  <si>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</si>
  <si>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</si>
  <si>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</si>
  <si>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</si>
  <si>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</si>
  <si>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</si>
  <si>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</si>
  <si>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</si>
  <si>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</si>
  <si>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</si>
  <si>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</si>
  <si>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</si>
  <si>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</si>
  <si>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</si>
  <si>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</si>
  <si>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</si>
  <si>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</si>
  <si>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</si>
  <si>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</si>
  <si>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</si>
  <si>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</si>
  <si>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</si>
  <si>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</si>
  <si>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</si>
  <si>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</si>
  <si>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</si>
  <si>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</si>
  <si>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</si>
  <si>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</si>
  <si>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</si>
  <si>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</si>
  <si>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</si>
  <si>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</si>
  <si>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</si>
  <si>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</si>
  <si>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</si>
  <si>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</si>
  <si>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</si>
  <si>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</si>
  <si>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</si>
  <si>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</si>
  <si>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</si>
  <si>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</si>
  <si>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</si>
  <si>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</si>
  <si>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</si>
  <si>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</si>
  <si>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</si>
  <si>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</si>
  <si>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</si>
  <si>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</si>
  <si>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</si>
  <si>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</si>
  <si>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</si>
  <si>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</si>
  <si>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</si>
  <si>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</si>
  <si>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</si>
  <si>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</si>
  <si>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</si>
  <si>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</si>
  <si>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</si>
  <si>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</si>
  <si>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</si>
  <si>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</si>
  <si>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</si>
  <si>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</si>
  <si>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</si>
  <si>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</si>
  <si>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</si>
  <si>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</si>
  <si>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</si>
  <si>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</si>
  <si>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</si>
  <si>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</si>
  <si>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</si>
  <si>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</si>
  <si>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</si>
  <si>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</si>
  <si>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</si>
  <si>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</si>
  <si>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</si>
  <si>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</si>
  <si>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</si>
  <si>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</si>
  <si>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</si>
  <si>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</si>
  <si>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</si>
  <si>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</si>
  <si>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</si>
  <si>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</si>
  <si>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</si>
  <si>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</si>
  <si>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</si>
  <si>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</si>
  <si>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</si>
  <si>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</si>
  <si>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</si>
  <si>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</si>
  <si>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</si>
  <si>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</si>
  <si>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</si>
  <si>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</si>
  <si>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</si>
  <si>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</si>
  <si>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</si>
  <si>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</si>
  <si>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</si>
  <si>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</si>
  <si>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</si>
  <si>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</si>
  <si>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</si>
  <si>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</si>
  <si>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</si>
  <si>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</si>
  <si>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</si>
  <si>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</si>
  <si>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</si>
  <si>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</si>
  <si>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</si>
  <si>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</si>
  <si>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</si>
  <si>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</si>
  <si>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</si>
  <si>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</si>
  <si>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</si>
  <si>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</si>
  <si>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</si>
  <si>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</si>
  <si>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</si>
  <si>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</si>
  <si>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</si>
  <si>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</si>
  <si>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</si>
  <si>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</si>
  <si>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</si>
  <si>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</si>
  <si>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</si>
  <si>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</si>
  <si>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</si>
  <si>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</si>
  <si>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</si>
  <si>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</si>
  <si>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</si>
  <si>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</si>
  <si>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</si>
  <si>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</si>
  <si>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</si>
  <si>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</si>
  <si>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</si>
  <si>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</si>
  <si>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</si>
  <si>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</si>
  <si>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</si>
  <si>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</si>
  <si>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</si>
  <si>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</si>
  <si>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</si>
  <si>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</si>
  <si>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</si>
  <si>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</si>
  <si>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</si>
  <si>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</si>
  <si>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</si>
  <si>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</si>
  <si>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</si>
  <si>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</si>
  <si>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</si>
  <si>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</si>
  <si>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</si>
  <si>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</si>
  <si>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</si>
  <si>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</si>
  <si>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</si>
  <si>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</si>
  <si>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</si>
  <si>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</si>
  <si>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</si>
  <si>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</si>
  <si>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</si>
  <si>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</si>
  <si>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</si>
  <si>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</si>
  <si>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</si>
  <si>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</si>
  <si>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</si>
  <si>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</si>
  <si>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</si>
  <si>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</si>
  <si>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</si>
  <si>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</si>
  <si>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</si>
  <si>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</si>
  <si>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</si>
  <si>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</si>
  <si>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</si>
  <si>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</si>
  <si>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</si>
  <si>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</si>
  <si>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</si>
  <si>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</si>
  <si>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</si>
  <si>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</si>
  <si>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</si>
  <si>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</si>
  <si>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</si>
  <si>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</si>
  <si>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</si>
  <si>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</si>
  <si>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</si>
  <si>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</si>
  <si>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</si>
  <si>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</si>
  <si>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</si>
  <si>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</si>
  <si>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</si>
  <si>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</si>
  <si>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</si>
  <si>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</si>
  <si>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</si>
  <si>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</si>
  <si>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</si>
  <si>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</si>
  <si>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</si>
  <si>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</si>
  <si>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</si>
  <si>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</si>
  <si>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</si>
  <si>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</si>
  <si>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</si>
  <si>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</si>
  <si>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</si>
  <si>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</si>
  <si>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</si>
  <si>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</si>
  <si>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</si>
  <si>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</si>
  <si>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</si>
  <si>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</si>
  <si>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</si>
  <si>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</si>
  <si>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</si>
  <si>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</si>
  <si>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</si>
  <si>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</si>
  <si>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</si>
  <si>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</si>
  <si>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</si>
  <si>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</si>
  <si>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</si>
  <si>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</si>
  <si>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</si>
  <si>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</si>
  <si>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</si>
  <si>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</si>
  <si>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</si>
  <si>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</si>
  <si>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</si>
  <si>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</si>
  <si>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</si>
  <si>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</si>
  <si>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</si>
  <si>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</si>
  <si>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</si>
  <si>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</si>
  <si>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</si>
  <si>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</si>
  <si>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</si>
  <si>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</si>
  <si>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</si>
  <si>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</si>
  <si>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</si>
  <si>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</si>
  <si>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</si>
  <si>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</si>
  <si>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</si>
  <si>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</si>
  <si>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</si>
  <si>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</si>
  <si>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</si>
  <si>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</si>
  <si>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</si>
  <si>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</si>
  <si>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</si>
  <si>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</si>
  <si>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</si>
  <si>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</si>
  <si>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</si>
  <si>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</si>
  <si>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</si>
  <si>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</si>
  <si>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</si>
  <si>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</si>
  <si>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</si>
  <si>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</si>
  <si>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</si>
  <si>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</si>
  <si>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</si>
  <si>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</si>
  <si>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</si>
  <si>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</si>
  <si>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</si>
  <si>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</si>
  <si>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</si>
  <si>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</si>
  <si>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</si>
  <si>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</si>
  <si>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</si>
  <si>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</si>
  <si>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</si>
  <si>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</si>
  <si>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</si>
  <si>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</si>
  <si>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</si>
  <si>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</si>
  <si>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</si>
  <si>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</si>
  <si>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</si>
  <si>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</si>
  <si>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</si>
  <si>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</si>
  <si>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</si>
  <si>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</si>
  <si>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</si>
  <si>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</si>
  <si>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</si>
  <si>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</si>
  <si>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</si>
  <si>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</si>
  <si>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</si>
  <si>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</si>
  <si>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</si>
  <si>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</si>
  <si>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</si>
  <si>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</si>
  <si>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</si>
  <si>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</si>
  <si>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</si>
  <si>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</si>
  <si>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</si>
  <si>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</si>
  <si>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</si>
  <si>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</si>
  <si>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</si>
  <si>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</si>
  <si>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</si>
  <si>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</si>
  <si>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</si>
  <si>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</si>
  <si>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</si>
  <si>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</si>
  <si>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</si>
  <si>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</si>
  <si>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</si>
  <si>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</si>
  <si>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</si>
  <si>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</si>
  <si>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</si>
  <si>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</si>
  <si>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</si>
  <si>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</si>
  <si>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</si>
  <si>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</si>
  <si>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</si>
  <si>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</si>
  <si>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</si>
  <si>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</si>
  <si>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</si>
  <si>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</si>
  <si>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</si>
  <si>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</si>
  <si>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</si>
  <si>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</si>
  <si>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</si>
  <si>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</si>
  <si>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</si>
  <si>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</si>
  <si>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</si>
  <si>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</si>
  <si>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</si>
  <si>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</si>
  <si>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</si>
  <si>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</si>
  <si>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</si>
  <si>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</si>
  <si>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</si>
  <si>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</si>
  <si>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</si>
  <si>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</si>
  <si>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</si>
  <si>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</si>
  <si>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</si>
  <si>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</si>
  <si>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</si>
  <si>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</si>
  <si>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</si>
  <si>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</si>
  <si>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</si>
  <si>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</si>
  <si>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</si>
  <si>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</si>
  <si>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</si>
  <si>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</si>
  <si>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</si>
  <si>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</si>
  <si>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</si>
  <si>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</si>
  <si>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</si>
  <si>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</si>
  <si>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</si>
  <si>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</si>
  <si>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</si>
  <si>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</si>
  <si>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</si>
  <si>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</si>
  <si>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</si>
  <si>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</si>
  <si>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</si>
  <si>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</si>
  <si>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</si>
  <si>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</si>
  <si>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</si>
  <si>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</si>
  <si>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</si>
  <si>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</si>
  <si>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</si>
  <si>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</si>
  <si>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</si>
  <si>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</si>
  <si>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</si>
  <si>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</si>
  <si>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</si>
  <si>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</si>
  <si>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</si>
  <si>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</si>
  <si>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</si>
  <si>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</si>
  <si>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</si>
  <si>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</si>
  <si>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</si>
  <si>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</si>
  <si>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</si>
  <si>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</si>
  <si>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</si>
  <si>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</si>
  <si>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</si>
  <si>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</si>
  <si>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</si>
  <si>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</si>
  <si>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</si>
  <si>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</si>
  <si>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</si>
  <si>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</si>
  <si>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</si>
  <si>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</si>
  <si>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</si>
  <si>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</si>
  <si>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</si>
  <si>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</si>
  <si>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</si>
  <si>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</si>
  <si>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</si>
  <si>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</si>
  <si>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</si>
  <si>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</si>
  <si>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</si>
  <si>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</si>
  <si>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</si>
  <si>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</si>
  <si>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</si>
  <si>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</si>
  <si>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</si>
  <si>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</si>
  <si>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</si>
  <si>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</si>
  <si>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</si>
  <si>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</si>
  <si>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</si>
  <si>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</si>
  <si>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</si>
  <si>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</si>
  <si>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</si>
  <si>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</si>
  <si>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</si>
  <si>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</si>
  <si>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</si>
  <si>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</si>
  <si>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</si>
  <si>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</si>
  <si>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</si>
  <si>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</si>
  <si>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</si>
  <si>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</si>
  <si>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</si>
  <si>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</si>
  <si>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</si>
  <si>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</si>
  <si>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</si>
  <si>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</si>
  <si>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</si>
  <si>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</si>
  <si>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</si>
  <si>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</si>
  <si>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</si>
  <si>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</si>
  <si>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</si>
  <si>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</si>
  <si>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</si>
  <si>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</si>
  <si>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</si>
  <si>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</si>
  <si>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</si>
  <si>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</si>
  <si>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</si>
  <si>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</si>
  <si>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</si>
  <si>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</si>
  <si>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</si>
  <si>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</si>
  <si>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</si>
  <si>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</si>
  <si>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</si>
  <si>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</si>
  <si>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</si>
  <si>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</si>
  <si>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</si>
  <si>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</si>
  <si>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</si>
  <si>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</si>
  <si>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</si>
  <si>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</si>
  <si>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</si>
  <si>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</si>
  <si>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</si>
  <si>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</si>
  <si>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</si>
  <si>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</si>
  <si>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</si>
  <si>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</si>
  <si>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</si>
  <si>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</si>
  <si>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</si>
  <si>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</si>
  <si>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</si>
  <si>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</si>
  <si>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</si>
  <si>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</si>
  <si>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</si>
  <si>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</si>
  <si>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</si>
  <si>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</si>
  <si>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</si>
  <si>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</si>
  <si>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</si>
  <si>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</si>
  <si>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</si>
  <si>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</si>
  <si>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</si>
  <si>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</si>
  <si>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</si>
  <si>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</si>
  <si>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</si>
  <si>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</si>
  <si>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</si>
  <si>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</si>
  <si>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</si>
  <si>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</si>
  <si>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</si>
  <si>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</si>
  <si>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</si>
  <si>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</si>
  <si>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</si>
  <si>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</si>
  <si>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</si>
  <si>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</si>
  <si>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</si>
  <si>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</si>
  <si>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</si>
  <si>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</si>
  <si>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</si>
  <si>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</si>
  <si>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</si>
  <si>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</si>
  <si>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</si>
  <si>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</si>
  <si>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</si>
  <si>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</si>
  <si>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</si>
  <si>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</si>
  <si>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</si>
  <si>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</si>
  <si>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</si>
  <si>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</si>
  <si>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</si>
  <si>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</si>
  <si>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</si>
  <si>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</si>
  <si>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</si>
  <si>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</si>
  <si>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</si>
  <si>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</si>
  <si>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</si>
  <si>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</si>
  <si>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</si>
  <si>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</si>
  <si>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</si>
  <si>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</si>
  <si>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</si>
  <si>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</si>
  <si>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</si>
  <si>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</si>
  <si>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</si>
  <si>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</si>
  <si>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</si>
  <si>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</si>
  <si>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</si>
  <si>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</si>
  <si>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</si>
  <si>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</si>
  <si>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</si>
  <si>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</si>
  <si>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</si>
  <si>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</si>
  <si>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</si>
  <si>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</si>
  <si>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</si>
  <si>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</si>
  <si>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</si>
  <si>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</si>
  <si>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</si>
  <si>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</si>
  <si>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</si>
  <si>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</si>
  <si>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</si>
  <si>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</si>
  <si>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</si>
  <si>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</si>
  <si>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</si>
  <si>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</si>
  <si>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</si>
  <si>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</si>
  <si>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</si>
  <si>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</si>
  <si>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</si>
  <si>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</si>
  <si>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</si>
  <si>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</si>
  <si>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</si>
  <si>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</si>
  <si>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</si>
  <si>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</si>
  <si>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</si>
  <si>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</si>
  <si>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</si>
  <si>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</si>
  <si>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</si>
  <si>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</si>
  <si>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</si>
  <si>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</si>
  <si>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</si>
  <si>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</si>
  <si>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</si>
  <si>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</si>
  <si>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</si>
  <si>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</si>
  <si>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</si>
  <si>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</si>
  <si>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</si>
  <si>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</si>
  <si>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</si>
  <si>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</si>
  <si>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</si>
  <si>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</si>
  <si>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</si>
  <si>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</si>
  <si>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</si>
  <si>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</si>
  <si>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</si>
  <si>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</si>
  <si>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</si>
  <si>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</si>
  <si>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</si>
  <si>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</si>
  <si>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</si>
  <si>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</si>
  <si>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</si>
  <si>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</si>
  <si>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</si>
  <si>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</si>
  <si>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</si>
  <si>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</si>
  <si>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</si>
  <si>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</si>
  <si>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</si>
  <si>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</si>
  <si>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</si>
  <si>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</si>
  <si>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</si>
  <si>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</si>
  <si>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</si>
  <si>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</si>
  <si>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</si>
  <si>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</si>
  <si>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</si>
  <si>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</si>
  <si>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</si>
  <si>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</si>
  <si>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</si>
  <si>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</si>
  <si>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</si>
  <si>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</si>
  <si>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</si>
  <si>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</si>
  <si>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</si>
  <si>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</si>
  <si>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</si>
  <si>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</si>
  <si>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</si>
  <si>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</si>
  <si>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</si>
  <si>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</si>
  <si>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</si>
  <si>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</si>
  <si>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</si>
  <si>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</si>
  <si>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</si>
  <si>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</si>
  <si>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</si>
  <si>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</si>
  <si>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</si>
  <si>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</si>
  <si>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</si>
  <si>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</si>
  <si>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</si>
  <si>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</si>
  <si>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</si>
  <si>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</si>
  <si>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</si>
  <si>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</si>
  <si>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</si>
  <si>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</si>
  <si>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</si>
  <si>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</si>
  <si>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</si>
  <si>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</si>
  <si>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</si>
  <si>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</si>
  <si>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</si>
  <si>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</si>
  <si>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</si>
  <si>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</si>
  <si>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</si>
  <si>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</si>
  <si>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</si>
  <si>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</si>
  <si>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</si>
  <si>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</si>
  <si>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</si>
  <si>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</si>
  <si>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</si>
  <si>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</si>
  <si>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</si>
  <si>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</si>
  <si>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</si>
  <si>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</si>
  <si>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</si>
  <si>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</si>
  <si>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</si>
  <si>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</si>
  <si>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</si>
  <si>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</si>
  <si>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</si>
  <si>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</si>
  <si>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</si>
  <si>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</si>
  <si>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</si>
  <si>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</si>
  <si>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</si>
  <si>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</si>
  <si>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</si>
  <si>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</si>
  <si>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</si>
  <si>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</si>
  <si>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</si>
  <si>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</si>
  <si>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</si>
  <si>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</si>
  <si>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</si>
  <si>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</si>
  <si>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</si>
  <si>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</si>
  <si>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</si>
  <si>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</si>
  <si>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</si>
  <si>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</si>
  <si>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</si>
  <si>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</si>
  <si>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</si>
  <si>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</si>
  <si>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</si>
  <si>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</si>
  <si>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</si>
  <si>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</si>
  <si>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</si>
  <si>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</si>
  <si>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</si>
  <si>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</si>
  <si>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</si>
  <si>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</si>
  <si>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</si>
  <si>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</si>
  <si>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</si>
  <si>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</si>
  <si>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</si>
  <si>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</si>
  <si>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</si>
  <si>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</si>
  <si>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</si>
  <si>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</si>
  <si>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</si>
  <si>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</si>
  <si>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</si>
  <si>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</si>
  <si>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</si>
  <si>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</si>
  <si>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</si>
  <si>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</si>
  <si>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</si>
  <si>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</si>
  <si>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</si>
  <si>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</si>
  <si>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</si>
  <si>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</si>
  <si>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</si>
  <si>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</si>
  <si>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</si>
  <si>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</si>
  <si>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</si>
  <si>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</si>
  <si>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</si>
  <si>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</si>
  <si>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</si>
  <si>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</si>
  <si>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</si>
  <si>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</si>
  <si>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</si>
  <si>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</si>
  <si>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</si>
  <si>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</si>
  <si>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</si>
  <si>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</si>
  <si>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</si>
  <si>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</si>
  <si>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</si>
  <si>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</si>
  <si>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</si>
  <si>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</si>
  <si>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</si>
  <si>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</si>
  <si>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</si>
  <si>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</si>
  <si>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</si>
  <si>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</si>
  <si>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</si>
  <si>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</si>
  <si>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</si>
  <si>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</si>
  <si>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</si>
  <si>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</si>
  <si>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</si>
  <si>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</si>
  <si>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</si>
  <si>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</si>
  <si>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</si>
  <si>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</si>
  <si>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</si>
  <si>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</si>
  <si>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</si>
  <si>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</si>
  <si>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</si>
  <si>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</si>
  <si>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</si>
  <si>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</si>
  <si>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</si>
  <si>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</si>
  <si>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</si>
  <si>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</si>
  <si>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</si>
  <si>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</si>
  <si>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</si>
  <si>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</si>
  <si>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</si>
  <si>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</si>
  <si>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</si>
  <si>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</si>
  <si>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</si>
  <si>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</si>
  <si>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</si>
  <si>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</si>
  <si>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</si>
  <si>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</si>
  <si>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</si>
  <si>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</si>
  <si>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</si>
  <si>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</si>
  <si>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</si>
  <si>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</si>
  <si>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</si>
  <si>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</si>
  <si>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</si>
  <si>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</si>
  <si>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</si>
  <si>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</si>
  <si>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</si>
  <si>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</si>
  <si>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</si>
  <si>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</si>
  <si>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</si>
  <si>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</si>
  <si>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</si>
  <si>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</si>
  <si>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</si>
  <si>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</si>
  <si>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</si>
  <si>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</si>
  <si>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</si>
  <si>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</si>
  <si>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</si>
  <si>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</si>
  <si>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</si>
  <si>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</si>
  <si>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</si>
  <si>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</si>
  <si>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</si>
  <si>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</si>
  <si>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</si>
  <si>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</si>
  <si>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</si>
  <si>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</si>
  <si>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</si>
  <si>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</si>
  <si>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</si>
  <si>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</si>
  <si>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</si>
  <si>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</si>
  <si>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</si>
  <si>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</si>
  <si>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</si>
  <si>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</si>
  <si>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</si>
  <si>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</si>
  <si>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</si>
  <si>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</si>
  <si>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</si>
  <si>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</si>
  <si>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</si>
  <si>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</si>
  <si>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</si>
  <si>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</si>
  <si>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</si>
  <si>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</si>
  <si>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</si>
  <si>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</si>
  <si>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</si>
  <si>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</si>
  <si>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</si>
  <si>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</si>
  <si>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</si>
  <si>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</si>
  <si>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</si>
  <si>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</si>
  <si>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</si>
  <si>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</si>
  <si>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</si>
  <si>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</si>
  <si>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</si>
  <si>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</si>
  <si>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</si>
  <si>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</si>
  <si>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</si>
  <si>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</si>
  <si>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</si>
  <si>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</si>
  <si>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</si>
  <si>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</si>
  <si>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</si>
  <si>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</si>
  <si>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</si>
  <si>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</si>
  <si>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</si>
  <si>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</si>
  <si>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</si>
  <si>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</si>
  <si>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</si>
  <si>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</si>
  <si>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</si>
  <si>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</si>
  <si>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</si>
  <si>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</si>
  <si>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</si>
  <si>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</si>
  <si>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</si>
  <si>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</si>
  <si>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</si>
  <si>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</si>
  <si>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</si>
  <si>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</si>
  <si>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</si>
  <si>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</si>
  <si>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</si>
  <si>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</si>
  <si>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</si>
  <si>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</si>
  <si>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</si>
  <si>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</si>
  <si>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</si>
  <si>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</si>
  <si>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</si>
  <si>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</si>
  <si>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</si>
  <si>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</si>
  <si>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</si>
  <si>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</si>
  <si>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</si>
  <si>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</si>
  <si>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</si>
  <si>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</si>
  <si>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</si>
  <si>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</si>
  <si>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</si>
  <si>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</si>
  <si>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</si>
  <si>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</si>
  <si>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</si>
  <si>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</si>
  <si>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</si>
  <si>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</si>
  <si>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</si>
  <si>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</si>
  <si>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</si>
  <si>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</si>
  <si>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</si>
  <si>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</si>
  <si>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</si>
  <si>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</si>
  <si>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</si>
  <si>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</si>
  <si>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</si>
  <si>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</si>
  <si>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</si>
  <si>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</si>
  <si>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</si>
  <si>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</si>
  <si>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</si>
  <si>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</si>
  <si>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</si>
  <si>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</si>
  <si>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</si>
  <si>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</si>
  <si>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</si>
  <si>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</si>
  <si>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</si>
  <si>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</si>
  <si>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</si>
  <si>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</si>
  <si>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</si>
  <si>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</si>
  <si>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</si>
  <si>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</si>
  <si>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</si>
  <si>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</si>
  <si>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</si>
  <si>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</si>
  <si>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</si>
  <si>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</si>
  <si>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</si>
  <si>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</si>
  <si>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</si>
  <si>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</si>
  <si>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</si>
  <si>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</si>
  <si>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</si>
  <si>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</si>
  <si>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</si>
  <si>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</si>
  <si>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</si>
  <si>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</si>
  <si>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</si>
  <si>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</si>
  <si>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</si>
  <si>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</si>
  <si>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</si>
  <si>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</si>
  <si>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</si>
  <si>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</si>
  <si>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</si>
  <si>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</si>
  <si>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</si>
  <si>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</si>
  <si>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</si>
  <si>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</si>
  <si>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</si>
  <si>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</si>
  <si>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</si>
  <si>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</si>
  <si>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</si>
  <si>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</si>
  <si>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</si>
  <si>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</si>
  <si>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</si>
  <si>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</si>
  <si>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</si>
  <si>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</si>
  <si>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</si>
  <si>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</si>
  <si>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</si>
  <si>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</si>
  <si>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</si>
  <si>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</si>
  <si>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</si>
  <si>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</si>
  <si>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</si>
  <si>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</si>
  <si>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</si>
  <si>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</si>
  <si>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</si>
  <si>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</si>
  <si>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</si>
  <si>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</si>
  <si>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</si>
  <si>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</si>
  <si>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</si>
  <si>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</si>
  <si>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</si>
  <si>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</si>
  <si>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</si>
  <si>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</si>
  <si>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</si>
  <si>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</si>
  <si>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</si>
  <si>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</si>
  <si>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</si>
  <si>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</si>
  <si>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</si>
  <si>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</si>
  <si>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</si>
  <si>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</si>
  <si>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</si>
  <si>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</si>
  <si>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</si>
  <si>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</si>
  <si>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</si>
  <si>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</si>
  <si>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</si>
  <si>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</si>
  <si>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</si>
  <si>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</si>
  <si>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</si>
  <si>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</si>
  <si>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</si>
  <si>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</si>
  <si>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</si>
  <si>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</si>
  <si>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</si>
  <si>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</si>
  <si>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</si>
  <si>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</si>
  <si>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</si>
  <si>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</si>
  <si>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</si>
  <si>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</si>
  <si>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</si>
  <si>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</si>
  <si>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</si>
  <si>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</si>
  <si>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</si>
  <si>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</si>
  <si>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</si>
  <si>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</si>
  <si>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</si>
  <si>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</si>
  <si>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</si>
  <si>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</si>
  <si>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</si>
  <si>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</si>
  <si>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</si>
  <si>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</si>
  <si>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</si>
  <si>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</si>
  <si>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</si>
  <si>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</si>
  <si>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</si>
  <si>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</si>
  <si>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</si>
  <si>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</si>
  <si>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</si>
  <si>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</si>
  <si>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</si>
  <si>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</si>
  <si>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</si>
  <si>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</si>
  <si>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</si>
  <si>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</si>
  <si>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</si>
  <si>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</si>
  <si>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</si>
  <si>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</si>
  <si>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</si>
  <si>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</si>
  <si>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</si>
  <si>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</si>
  <si>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</si>
  <si>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</si>
  <si>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</si>
  <si>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</si>
  <si>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</si>
  <si>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</si>
  <si>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</si>
  <si>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</si>
  <si>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</si>
  <si>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</si>
  <si>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</si>
  <si>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</si>
  <si>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</si>
  <si>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</si>
  <si>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</si>
  <si>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</si>
  <si>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</si>
  <si>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</si>
  <si>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</si>
  <si>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</si>
  <si>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</si>
  <si>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</si>
  <si>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</si>
  <si>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</si>
  <si>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</si>
  <si>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</si>
  <si>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</si>
  <si>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</si>
  <si>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</si>
  <si>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</si>
  <si>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</si>
  <si>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</si>
  <si>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</si>
  <si>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</si>
  <si>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</si>
  <si>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</si>
  <si>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</si>
  <si>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</si>
  <si>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</si>
  <si>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</si>
  <si>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</si>
  <si>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</si>
  <si>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</si>
  <si>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</si>
  <si>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</si>
  <si>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</si>
  <si>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</si>
  <si>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</si>
  <si>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</si>
  <si>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</si>
  <si>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</si>
  <si>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</si>
  <si>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</si>
  <si>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</si>
  <si>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</si>
  <si>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</si>
  <si>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</si>
  <si>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</si>
  <si>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</si>
  <si>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</si>
  <si>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</si>
  <si>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</si>
  <si>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</si>
  <si>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</si>
  <si>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</si>
  <si>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</si>
  <si>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</si>
  <si>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</si>
  <si>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</si>
  <si>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</si>
  <si>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</si>
  <si>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</si>
  <si>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</si>
  <si>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</si>
  <si>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</si>
  <si>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</si>
  <si>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</si>
  <si>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</si>
  <si>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</si>
  <si>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</si>
  <si>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</si>
  <si>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</si>
  <si>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</si>
  <si>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</si>
  <si>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</si>
  <si>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</si>
  <si>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</si>
  <si>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</si>
  <si>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</si>
  <si>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</si>
  <si>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</si>
  <si>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</si>
  <si>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</si>
  <si>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</si>
  <si>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</si>
  <si>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</si>
  <si>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</si>
  <si>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</si>
  <si>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</si>
  <si>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</si>
  <si>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</si>
  <si>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</si>
  <si>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</si>
  <si>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</si>
  <si>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</si>
  <si>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</si>
  <si>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</si>
  <si>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</si>
  <si>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</si>
  <si>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</si>
  <si>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</si>
  <si>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</si>
  <si>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</si>
  <si>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</si>
  <si>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</si>
  <si>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</si>
  <si>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</si>
  <si>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</si>
  <si>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</si>
  <si>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</si>
  <si>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</si>
  <si>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</si>
  <si>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</si>
  <si>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</si>
  <si>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</si>
  <si>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</si>
  <si>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</si>
  <si>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</si>
  <si>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</si>
  <si>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</si>
  <si>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</si>
  <si>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</si>
  <si>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</si>
  <si>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</si>
  <si>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</si>
  <si>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</si>
  <si>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</si>
  <si>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</si>
  <si>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</si>
  <si>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</si>
  <si>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</si>
  <si>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</si>
  <si>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</si>
  <si>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</si>
  <si>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</si>
  <si>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</si>
  <si>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</si>
  <si>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</si>
  <si>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</si>
  <si>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</si>
  <si>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</si>
  <si>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</si>
  <si>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</si>
  <si>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</si>
  <si>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</si>
  <si>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</si>
  <si>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</si>
  <si>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</si>
  <si>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</si>
  <si>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</si>
  <si>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</si>
  <si>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</si>
  <si>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</si>
  <si>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</si>
  <si>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</si>
  <si>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</si>
  <si>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</si>
  <si>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</si>
  <si>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</si>
  <si>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</si>
  <si>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</si>
  <si>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</si>
  <si>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</si>
  <si>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</si>
  <si>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</si>
  <si>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</si>
  <si>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</si>
  <si>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</si>
  <si>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</si>
  <si>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</si>
  <si>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</si>
  <si>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</si>
  <si>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</si>
  <si>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</si>
  <si>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</si>
  <si>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</si>
  <si>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</si>
  <si>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</si>
  <si>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</si>
  <si>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</si>
  <si>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</si>
  <si>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</si>
  <si>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</si>
  <si>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</si>
  <si>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</si>
  <si>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</si>
  <si>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</si>
  <si>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</si>
  <si>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</si>
  <si>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</si>
  <si>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</si>
  <si>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</si>
  <si>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</si>
  <si>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</si>
  <si>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</si>
  <si>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</si>
  <si>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</si>
  <si>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</si>
  <si>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</si>
  <si>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</si>
  <si>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</si>
  <si>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</si>
  <si>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</si>
  <si>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</si>
  <si>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</si>
  <si>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</si>
  <si>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</si>
  <si>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</si>
  <si>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</si>
  <si>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</si>
  <si>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</si>
  <si>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</si>
  <si>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</si>
  <si>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</si>
  <si>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</si>
  <si>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</si>
  <si>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</si>
  <si>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</si>
  <si>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</si>
  <si>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</si>
  <si>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</si>
  <si>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</si>
  <si>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</si>
  <si>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</si>
  <si>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</si>
  <si>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</si>
  <si>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</si>
  <si>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</si>
  <si>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</si>
  <si>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</si>
  <si>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</si>
  <si>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</si>
  <si>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</si>
  <si>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</si>
  <si>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</si>
  <si>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</si>
  <si>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</si>
  <si>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</si>
  <si>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</si>
  <si>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</si>
  <si>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</si>
  <si>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</si>
  <si>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</si>
  <si>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</si>
  <si>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</si>
  <si>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</si>
  <si>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</si>
  <si>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</si>
  <si>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</si>
  <si>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</si>
  <si>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</si>
  <si>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</si>
  <si>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</si>
  <si>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</si>
  <si>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</si>
  <si>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</si>
  <si>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</si>
  <si>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</si>
  <si>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</si>
  <si>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</si>
  <si>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</si>
  <si>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</si>
  <si>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</si>
  <si>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</si>
  <si>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</si>
  <si>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</si>
  <si>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</si>
  <si>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</si>
  <si>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</si>
  <si>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</si>
  <si>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</si>
  <si>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</si>
  <si>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</si>
  <si>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</si>
  <si>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</si>
  <si>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</si>
  <si>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</si>
  <si>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</si>
  <si>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</si>
  <si>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</si>
  <si>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</si>
  <si>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</si>
  <si>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</si>
  <si>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</si>
  <si>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</si>
  <si>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</si>
  <si>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</si>
  <si>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</si>
  <si>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</si>
  <si>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</si>
  <si>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</si>
  <si>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</si>
  <si>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</si>
  <si>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</si>
  <si>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</si>
  <si>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</si>
  <si>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</si>
  <si>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</si>
  <si>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</si>
  <si>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</si>
  <si>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</si>
  <si>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</si>
  <si>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</si>
  <si>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</si>
  <si>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</si>
  <si>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</si>
  <si>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</si>
  <si>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</si>
  <si>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</si>
  <si>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</si>
  <si>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</si>
  <si>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</si>
  <si>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</si>
  <si>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</si>
  <si>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</si>
  <si>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</si>
  <si>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</si>
  <si>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</si>
  <si>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</si>
  <si>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</si>
  <si>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</si>
  <si>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</si>
  <si>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</si>
  <si>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</si>
  <si>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</si>
  <si>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</si>
  <si>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</si>
  <si>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</si>
  <si>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</si>
  <si>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</si>
  <si>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</si>
  <si>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</si>
  <si>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</si>
  <si>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</si>
  <si>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</si>
  <si>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</si>
  <si>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</si>
  <si>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</si>
  <si>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</si>
  <si>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</si>
  <si>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</si>
  <si>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</si>
  <si>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</si>
  <si>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</si>
  <si>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</si>
  <si>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</si>
  <si>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</si>
  <si>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</si>
  <si>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</si>
  <si>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</si>
  <si>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</si>
  <si>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</si>
  <si>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</si>
  <si>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</si>
  <si>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</si>
  <si>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</si>
  <si>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</si>
  <si>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</si>
  <si>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</si>
  <si>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</si>
  <si>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</si>
  <si>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</si>
  <si>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</si>
  <si>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</si>
  <si>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</si>
  <si>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</si>
  <si>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</si>
  <si>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</si>
  <si>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</si>
  <si>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</si>
  <si>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</si>
  <si>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</si>
  <si>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</si>
  <si>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</si>
  <si>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</si>
  <si>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</si>
  <si>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</si>
  <si>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</si>
  <si>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</si>
  <si>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</si>
  <si>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</si>
  <si>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</si>
  <si>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</si>
  <si>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</si>
  <si>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</si>
  <si>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</si>
  <si>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</si>
  <si>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</si>
  <si>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</si>
  <si>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</si>
  <si>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</si>
  <si>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</si>
  <si>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</si>
  <si>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</si>
  <si>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</si>
  <si>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</si>
  <si>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</si>
  <si>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</si>
  <si>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</si>
  <si>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</si>
  <si>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</si>
  <si>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</si>
  <si>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</si>
  <si>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</si>
  <si>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</si>
  <si>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</si>
  <si>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</si>
  <si>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</si>
  <si>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</si>
  <si>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</si>
  <si>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</si>
  <si>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</si>
  <si>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</si>
  <si>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</si>
  <si>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</si>
  <si>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</si>
  <si>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</si>
  <si>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</si>
  <si>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</si>
  <si>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</si>
  <si>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</si>
  <si>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</si>
  <si>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</si>
  <si>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</si>
  <si>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</si>
  <si>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</si>
  <si>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</si>
  <si>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</si>
  <si>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</si>
  <si>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</si>
  <si>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</si>
  <si>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</si>
  <si>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</si>
  <si>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</si>
  <si>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</si>
  <si>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</si>
  <si>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</si>
  <si>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</si>
  <si>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</si>
  <si>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</si>
  <si>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</si>
  <si>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</si>
  <si>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</si>
  <si>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</si>
  <si>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</si>
  <si>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</si>
  <si>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</si>
  <si>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</si>
  <si>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</si>
  <si>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</si>
  <si>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</si>
  <si>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</si>
  <si>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</si>
  <si>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</si>
  <si>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</si>
  <si>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</si>
  <si>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</si>
  <si>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</si>
  <si>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</si>
  <si>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</si>
  <si>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</si>
  <si>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</si>
  <si>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</si>
  <si>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</si>
  <si>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</si>
  <si>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</si>
  <si>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</si>
  <si>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</si>
  <si>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</si>
  <si>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</si>
  <si>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</si>
  <si>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</si>
  <si>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</si>
  <si>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</si>
  <si>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</si>
  <si>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</si>
  <si>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</si>
  <si>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</si>
  <si>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</si>
  <si>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</si>
  <si>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</si>
  <si>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</si>
  <si>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</si>
  <si>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</si>
  <si>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</si>
  <si>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</si>
  <si>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</si>
  <si>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</si>
  <si>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</si>
  <si>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</si>
  <si>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</si>
  <si>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</si>
  <si>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</si>
  <si>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</si>
  <si>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</si>
  <si>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</si>
  <si>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</si>
  <si>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</si>
  <si>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</si>
  <si>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</si>
  <si>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</si>
  <si>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</si>
  <si>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</si>
  <si>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</si>
  <si>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</si>
  <si>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</si>
  <si>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</si>
  <si>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</si>
  <si>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</si>
  <si>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</si>
  <si>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</si>
  <si>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</si>
  <si>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</si>
  <si>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</si>
  <si>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</si>
  <si>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</si>
  <si>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</si>
  <si>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</si>
  <si>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</si>
  <si>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</si>
  <si>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</si>
  <si>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</si>
  <si>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</si>
  <si>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</si>
  <si>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</si>
  <si>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</si>
  <si>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</si>
  <si>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</si>
  <si>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</si>
  <si>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</si>
  <si>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</si>
  <si>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</si>
  <si>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</si>
  <si>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</si>
  <si>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</si>
  <si>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</si>
  <si>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</si>
  <si>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</si>
  <si>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</si>
  <si>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</si>
  <si>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</si>
  <si>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</si>
  <si>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</si>
  <si>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</si>
  <si>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</si>
  <si>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</si>
  <si>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</si>
  <si>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</si>
  <si>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</si>
  <si>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</si>
  <si>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</si>
  <si>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</si>
  <si>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</si>
  <si>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</si>
  <si>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</si>
  <si>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</si>
  <si>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</si>
  <si>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</si>
  <si>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</si>
  <si>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</si>
  <si>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</si>
  <si>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</si>
  <si>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</si>
  <si>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</si>
  <si>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</si>
  <si>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</si>
  <si>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</si>
  <si>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</si>
  <si>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</si>
  <si>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</si>
  <si>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</si>
  <si>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</si>
  <si>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</si>
  <si>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</si>
  <si>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</si>
  <si>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</si>
  <si>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</si>
  <si>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</si>
  <si>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</si>
  <si>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</si>
  <si>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</si>
  <si>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</si>
  <si>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</si>
  <si>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</si>
  <si>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</si>
  <si>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</si>
  <si>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</si>
  <si>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</si>
  <si>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</si>
  <si>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</si>
  <si>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</si>
  <si>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</si>
  <si>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</si>
  <si>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</si>
  <si>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</si>
  <si>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</si>
  <si>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</si>
  <si>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</si>
  <si>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</si>
  <si>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</si>
  <si>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</si>
  <si>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</si>
  <si>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</si>
  <si>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</si>
  <si>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</si>
  <si>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</si>
  <si>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</si>
  <si>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</si>
  <si>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</si>
  <si>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</si>
  <si>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</si>
  <si>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</si>
  <si>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</si>
  <si>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</si>
  <si>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</si>
  <si>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</si>
  <si>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</si>
  <si>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</si>
  <si>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</si>
  <si>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</si>
  <si>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</si>
  <si>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</si>
  <si>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</si>
  <si>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</si>
  <si>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</si>
  <si>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</si>
  <si>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</si>
  <si>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</si>
  <si>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</si>
  <si>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</si>
  <si>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</si>
  <si>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</si>
  <si>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</si>
  <si>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</si>
  <si>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</si>
  <si>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</si>
  <si>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</si>
  <si>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</si>
  <si>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</si>
  <si>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</si>
  <si>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</si>
  <si>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</si>
  <si>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</si>
  <si>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</si>
  <si>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</si>
  <si>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</si>
  <si>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</si>
  <si>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</si>
  <si>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</si>
  <si>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</si>
  <si>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</si>
  <si>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</si>
  <si>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</si>
  <si>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</si>
  <si>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</si>
  <si>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</si>
  <si>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</si>
  <si>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</si>
  <si>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</si>
  <si>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</si>
  <si>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</si>
  <si>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</si>
  <si>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</si>
  <si>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</si>
  <si>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</si>
  <si>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</si>
  <si>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</si>
  <si>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</si>
  <si>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</si>
  <si>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</si>
  <si>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</si>
  <si>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</si>
  <si>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</si>
  <si>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</si>
  <si>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</si>
  <si>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</si>
  <si>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</si>
  <si>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</si>
  <si>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</si>
  <si>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</si>
  <si>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</si>
  <si>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</si>
  <si>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</si>
  <si>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</si>
  <si>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</si>
  <si>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</si>
  <si>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</si>
  <si>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</si>
  <si>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</si>
  <si>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</si>
  <si>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</si>
  <si>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</si>
  <si>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</si>
  <si>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</si>
  <si>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</si>
  <si>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</si>
  <si>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</si>
  <si>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</si>
  <si>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</si>
  <si>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</si>
  <si>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</si>
  <si>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</si>
  <si>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</si>
  <si>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</si>
  <si>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</si>
  <si>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</si>
  <si>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</si>
  <si>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</si>
  <si>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</si>
  <si>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</si>
  <si>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</si>
  <si>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</si>
  <si>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</si>
  <si>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</si>
  <si>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</si>
  <si>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</si>
  <si>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</si>
  <si>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</si>
  <si>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</si>
  <si>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</si>
  <si>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</si>
  <si>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</si>
  <si>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</si>
  <si>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</si>
  <si>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</si>
  <si>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</si>
  <si>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</si>
  <si>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</si>
  <si>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</si>
  <si>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</si>
  <si>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</si>
  <si>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</si>
  <si>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</si>
  <si>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</si>
  <si>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</si>
  <si>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</si>
  <si>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</si>
  <si>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</si>
  <si>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</si>
  <si>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</si>
  <si>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</si>
  <si>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</si>
  <si>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</si>
  <si>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</si>
  <si>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</si>
  <si>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</si>
  <si>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</si>
  <si>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</si>
  <si>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</si>
  <si>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</si>
  <si>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</si>
  <si>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</si>
  <si>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</si>
  <si>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</si>
  <si>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</si>
  <si>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</si>
  <si>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</si>
  <si>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</si>
  <si>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</si>
  <si>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</si>
  <si>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</si>
  <si>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</si>
  <si>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</si>
  <si>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</si>
  <si>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</si>
  <si>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</si>
  <si>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</si>
  <si>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</si>
  <si>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</si>
  <si>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</si>
  <si>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</si>
  <si>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</si>
  <si>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</si>
  <si>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</si>
  <si>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</si>
  <si>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</si>
  <si>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</si>
  <si>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</si>
  <si>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</si>
  <si>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</si>
  <si>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</si>
  <si>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</si>
  <si>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</si>
  <si>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</si>
  <si>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</si>
  <si>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</si>
  <si>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</si>
  <si>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</si>
  <si>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</si>
  <si>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</si>
  <si>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</si>
  <si>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</si>
  <si>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</si>
  <si>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</si>
  <si>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</si>
  <si>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</si>
  <si>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</si>
  <si>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</si>
  <si>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</si>
  <si>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</si>
  <si>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</si>
  <si>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</si>
  <si>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</si>
  <si>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</si>
  <si>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</si>
  <si>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</si>
  <si>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</si>
  <si>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</si>
  <si>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</si>
  <si>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</si>
  <si>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</si>
  <si>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</si>
  <si>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</si>
  <si>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</si>
  <si>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</si>
  <si>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</si>
  <si>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</si>
  <si>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</si>
  <si>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</si>
  <si>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</si>
  <si>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</si>
  <si>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</si>
  <si>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</si>
  <si>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</si>
  <si>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</si>
  <si>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</si>
  <si>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</si>
  <si>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</si>
  <si>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</si>
  <si>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</si>
  <si>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</si>
  <si>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</si>
  <si>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</si>
  <si>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</si>
  <si>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</si>
  <si>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</si>
  <si>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</si>
  <si>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</si>
  <si>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</si>
  <si>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</si>
  <si>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</si>
  <si>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</si>
  <si>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</si>
  <si>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</si>
  <si>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</si>
  <si>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</si>
  <si>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</si>
  <si>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</si>
  <si>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</si>
  <si>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</si>
  <si>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</si>
  <si>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</si>
  <si>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</si>
  <si>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</si>
  <si>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</si>
  <si>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</si>
  <si>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</si>
  <si>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</si>
  <si>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</si>
  <si>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</si>
  <si>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</si>
  <si>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</si>
  <si>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</si>
  <si>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</si>
  <si>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</si>
  <si>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</si>
  <si>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</si>
  <si>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</si>
  <si>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</si>
  <si>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</si>
  <si>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</si>
  <si>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</si>
  <si>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</si>
  <si>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</si>
  <si>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</si>
  <si>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</si>
  <si>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</si>
  <si>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</si>
  <si>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</si>
  <si>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</si>
  <si>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</si>
  <si>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</si>
  <si>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</si>
  <si>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</si>
  <si>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</si>
  <si>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</si>
  <si>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</si>
  <si>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</si>
  <si>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</si>
  <si>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</si>
  <si>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</si>
  <si>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</si>
  <si>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</si>
  <si>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</si>
  <si>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</si>
  <si>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</si>
  <si>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</si>
  <si>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</si>
  <si>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</si>
  <si>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</si>
  <si>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</si>
  <si>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</si>
  <si>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</si>
  <si>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</si>
  <si>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</si>
  <si>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</si>
  <si>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</si>
  <si>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</si>
  <si>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</si>
  <si>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</si>
  <si>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</si>
  <si>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</si>
  <si>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</si>
  <si>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</si>
  <si>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</si>
  <si>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</si>
  <si>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</si>
  <si>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</si>
  <si>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</si>
  <si>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</si>
  <si>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</si>
  <si>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</si>
  <si>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</si>
  <si>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</si>
  <si>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</si>
  <si>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</si>
  <si>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</si>
  <si>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</si>
  <si>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</si>
  <si>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</si>
  <si>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</si>
  <si>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</si>
  <si>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</si>
  <si>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</si>
  <si>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</si>
  <si>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</si>
  <si>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</si>
  <si>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</si>
  <si>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</si>
  <si>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</si>
  <si>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</si>
  <si>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</si>
  <si>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</si>
  <si>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</si>
  <si>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</si>
  <si>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</si>
  <si>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</si>
  <si>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</si>
  <si>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</si>
  <si>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</si>
  <si>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</si>
  <si>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</si>
  <si>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</si>
  <si>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</si>
  <si>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</si>
  <si>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</si>
  <si>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</si>
  <si>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</si>
  <si>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</si>
  <si>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</si>
  <si>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</si>
  <si>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</si>
  <si>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</si>
  <si>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</si>
  <si>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</si>
  <si>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</si>
  <si>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</si>
  <si>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</si>
  <si>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</si>
  <si>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</si>
  <si>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</si>
  <si>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</si>
  <si>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</si>
  <si>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</si>
  <si>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</si>
  <si>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</si>
  <si>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</si>
  <si>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</si>
  <si>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</si>
  <si>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</si>
  <si>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</si>
  <si>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</si>
  <si>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</si>
  <si>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</si>
  <si>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</si>
  <si>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</si>
  <si>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</si>
  <si>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</si>
  <si>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</si>
  <si>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</si>
  <si>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</si>
  <si>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</si>
  <si>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</si>
  <si>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</si>
  <si>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</si>
  <si>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</si>
  <si>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</si>
  <si>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</si>
  <si>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</si>
  <si>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</si>
  <si>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</si>
  <si>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</si>
  <si>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</si>
  <si>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</si>
  <si>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</si>
  <si>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</si>
  <si>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</si>
  <si>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</si>
  <si>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</si>
  <si>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</si>
  <si>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</si>
  <si>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</si>
  <si>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</si>
  <si>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</si>
  <si>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</si>
  <si>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</si>
  <si>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</si>
  <si>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</si>
  <si>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</si>
  <si>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</si>
  <si>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</si>
  <si>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</si>
  <si>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</si>
  <si>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</si>
  <si>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</si>
  <si>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</si>
  <si>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</si>
  <si>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</si>
  <si>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</si>
  <si>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</si>
  <si>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</si>
  <si>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</si>
  <si>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</si>
  <si>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</si>
  <si>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</si>
  <si>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</si>
  <si>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</si>
  <si>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</si>
  <si>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</si>
  <si>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</si>
  <si>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</si>
  <si>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</si>
  <si>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</si>
  <si>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</si>
  <si>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</si>
  <si>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</si>
  <si>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</si>
  <si>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</si>
  <si>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</si>
  <si>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</si>
  <si>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</si>
  <si>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</si>
  <si>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</si>
  <si>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</si>
  <si>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</si>
  <si>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</si>
  <si>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</si>
  <si>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</si>
  <si>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</si>
  <si>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</si>
  <si>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</si>
  <si>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</si>
  <si>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</si>
  <si>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</si>
  <si>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</si>
  <si>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</si>
  <si>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</si>
  <si>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</si>
  <si>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</si>
  <si>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</si>
  <si>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</si>
  <si>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</si>
  <si>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</si>
  <si>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</si>
  <si>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</si>
  <si>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</si>
  <si>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</si>
  <si>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</si>
  <si>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</si>
  <si>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</si>
  <si>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</si>
  <si>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</si>
  <si>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</si>
  <si>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</si>
  <si>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</si>
  <si>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</si>
  <si>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</si>
  <si>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</si>
  <si>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</si>
  <si>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</si>
  <si>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</si>
  <si>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</si>
  <si>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</si>
  <si>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</si>
  <si>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</si>
  <si>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</si>
  <si>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</si>
  <si>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</si>
  <si>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</si>
  <si>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</si>
  <si>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</si>
  <si>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</si>
  <si>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</si>
  <si>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</si>
  <si>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</si>
  <si>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</si>
  <si>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</si>
  <si>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</si>
  <si>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</si>
  <si>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</si>
  <si>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</si>
  <si>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</si>
  <si>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</si>
  <si>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</si>
  <si>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</si>
  <si>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</si>
  <si>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</si>
  <si>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</si>
  <si>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</si>
  <si>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</si>
  <si>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</si>
  <si>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</si>
  <si>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</si>
  <si>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</si>
  <si>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</si>
  <si>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</si>
  <si>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</si>
  <si>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</si>
  <si>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</si>
  <si>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</si>
  <si>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</si>
  <si>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</si>
  <si>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</si>
  <si>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</si>
  <si>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</si>
  <si>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</si>
  <si>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</si>
  <si>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</si>
  <si>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</si>
  <si>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</si>
  <si>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</si>
  <si>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</si>
  <si>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</si>
  <si>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</si>
  <si>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</si>
  <si>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</si>
  <si>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</si>
  <si>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</si>
  <si>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</si>
  <si>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</si>
  <si>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</si>
  <si>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</si>
  <si>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</si>
  <si>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</si>
  <si>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</si>
  <si>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</si>
  <si>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</si>
  <si>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</si>
  <si>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</si>
  <si>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</si>
  <si>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</si>
  <si>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</si>
  <si>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</si>
  <si>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</si>
  <si>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</si>
  <si>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</si>
  <si>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</si>
  <si>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</si>
  <si>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</si>
  <si>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</si>
  <si>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</si>
  <si>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</si>
  <si>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</si>
  <si>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</si>
  <si>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</si>
  <si>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</si>
  <si>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</si>
  <si>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</si>
  <si>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</si>
  <si>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</si>
  <si>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</si>
  <si>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</si>
  <si>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</si>
  <si>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</si>
  <si>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</si>
  <si>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</si>
  <si>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</si>
  <si>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</si>
  <si>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</si>
  <si>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</si>
  <si>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</si>
  <si>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</si>
  <si>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</si>
  <si>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</si>
  <si>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</si>
  <si>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</si>
  <si>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</si>
  <si>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</si>
  <si>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</si>
  <si>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</si>
  <si>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</si>
  <si>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</si>
  <si>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</si>
  <si>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</si>
  <si>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</si>
  <si>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</si>
  <si>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</si>
  <si>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</si>
  <si>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</si>
  <si>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</si>
  <si>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</si>
  <si>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</si>
  <si>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</si>
  <si>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</si>
  <si>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</si>
  <si>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</si>
  <si>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</si>
  <si>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</si>
  <si>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</si>
  <si>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</si>
  <si>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</si>
  <si>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</si>
  <si>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</si>
  <si>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</si>
  <si>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</si>
  <si>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</si>
  <si>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</si>
  <si>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</si>
  <si>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</si>
  <si>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</si>
  <si>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</si>
  <si>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</si>
  <si>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</si>
  <si>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</si>
  <si>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</si>
  <si>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</si>
  <si>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</si>
  <si>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</si>
  <si>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</si>
  <si>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</si>
  <si>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</si>
  <si>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</si>
  <si>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</si>
  <si>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</si>
  <si>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</si>
  <si>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</si>
  <si>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</si>
  <si>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</si>
  <si>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</si>
  <si>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</si>
  <si>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</si>
  <si>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</si>
  <si>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</si>
  <si>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</si>
  <si>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</si>
  <si>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</si>
  <si>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</si>
  <si>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</si>
  <si>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</si>
  <si>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</si>
  <si>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</si>
  <si>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</si>
  <si>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</si>
  <si>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</si>
  <si>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</si>
  <si>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</si>
  <si>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</si>
  <si>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</si>
  <si>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</si>
  <si>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</si>
  <si>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</si>
  <si>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</si>
  <si>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</si>
  <si>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</si>
  <si>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</si>
  <si>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</si>
  <si>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</si>
  <si>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</si>
  <si>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</si>
  <si>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</si>
  <si>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</si>
  <si>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</si>
  <si>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</si>
  <si>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</si>
  <si>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</si>
  <si>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</si>
  <si>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</si>
  <si>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</si>
  <si>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</si>
  <si>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</si>
  <si>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</si>
  <si>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</si>
  <si>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</si>
  <si>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</si>
  <si>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</si>
  <si>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</si>
  <si>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</si>
  <si>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</si>
  <si>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</si>
  <si>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</si>
  <si>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</si>
  <si>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</si>
  <si>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</si>
  <si>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</si>
  <si>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</si>
  <si>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</si>
  <si>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</si>
  <si>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</si>
  <si>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</si>
  <si>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</si>
  <si>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</si>
  <si>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</si>
  <si>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</si>
  <si>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</si>
  <si>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</si>
  <si>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</si>
  <si>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</si>
  <si>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</si>
  <si>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</si>
  <si>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</si>
  <si>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</si>
  <si>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</si>
  <si>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</si>
  <si>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</si>
  <si>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</si>
  <si>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</si>
  <si>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</si>
  <si>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</si>
  <si>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</si>
  <si>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</si>
  <si>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</si>
  <si>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</si>
  <si>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</si>
  <si>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</si>
  <si>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</si>
  <si>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</si>
  <si>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</si>
  <si>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</si>
  <si>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</si>
  <si>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</si>
  <si>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</si>
  <si>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</si>
  <si>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</si>
  <si>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</si>
  <si>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</si>
  <si>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</si>
  <si>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</si>
  <si>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</si>
  <si>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</si>
  <si>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</si>
  <si>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</si>
  <si>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</si>
  <si>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</si>
  <si>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</si>
  <si>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</si>
  <si>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</si>
  <si>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</si>
  <si>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</si>
  <si>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</si>
  <si>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</si>
  <si>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</si>
  <si>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</si>
  <si>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</si>
  <si>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</si>
  <si>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</si>
  <si>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</si>
  <si>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</si>
  <si>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</si>
  <si>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</si>
  <si>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</si>
  <si>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</si>
  <si>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</si>
  <si>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</si>
  <si>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</si>
  <si>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</si>
  <si>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</si>
  <si>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</si>
  <si>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</si>
  <si>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</si>
  <si>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</si>
  <si>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</si>
  <si>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</si>
  <si>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</si>
  <si>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</si>
  <si>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</si>
  <si>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</si>
  <si>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</si>
  <si>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</si>
  <si>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</si>
  <si>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</si>
  <si>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</si>
  <si>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</si>
  <si>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</si>
  <si>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</si>
  <si>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</si>
  <si>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</si>
  <si>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</si>
  <si>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</si>
  <si>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</si>
  <si>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</si>
  <si>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</si>
  <si>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</si>
  <si>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</si>
  <si>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</si>
  <si>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</si>
  <si>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</si>
  <si>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</si>
  <si>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</si>
  <si>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</si>
  <si>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</si>
  <si>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</si>
  <si>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</si>
  <si>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</si>
  <si>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</si>
  <si>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</si>
  <si>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</si>
  <si>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</si>
  <si>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</si>
  <si>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</si>
  <si>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</si>
  <si>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</si>
  <si>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</si>
  <si>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</si>
  <si>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</si>
  <si>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</si>
  <si>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</si>
  <si>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</si>
  <si>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</si>
  <si>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</si>
  <si>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</si>
  <si>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</si>
  <si>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</si>
  <si>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</si>
  <si>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</si>
  <si>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</si>
  <si>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</si>
  <si>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</si>
  <si>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</si>
  <si>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</si>
  <si>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</si>
  <si>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</si>
  <si>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</si>
  <si>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</si>
  <si>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</si>
  <si>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</si>
  <si>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</si>
  <si>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</si>
  <si>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</si>
  <si>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</si>
  <si>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</si>
  <si>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</si>
  <si>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</si>
  <si>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</si>
  <si>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</si>
  <si>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</si>
  <si>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</si>
  <si>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</si>
  <si>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</si>
  <si>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</si>
  <si>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</si>
  <si>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</si>
  <si>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</si>
  <si>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</si>
  <si>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</si>
  <si>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</si>
  <si>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</si>
  <si>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</si>
  <si>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</si>
  <si>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</si>
  <si>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</si>
  <si>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</si>
  <si>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</si>
  <si>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</si>
  <si>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</si>
  <si>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</si>
  <si>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</si>
  <si>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</si>
  <si>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</si>
  <si>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</si>
  <si>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</si>
  <si>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</si>
  <si>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</si>
  <si>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</si>
  <si>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</si>
  <si>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</si>
  <si>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</si>
  <si>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</si>
  <si>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</si>
  <si>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</si>
  <si>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</si>
  <si>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</si>
  <si>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</si>
  <si>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</si>
  <si>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</si>
  <si>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</si>
  <si>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</si>
  <si>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</si>
  <si>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</si>
  <si>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</si>
  <si>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</si>
  <si>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</si>
  <si>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</si>
  <si>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</si>
  <si>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</si>
  <si>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</si>
  <si>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</si>
  <si>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</si>
  <si>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</si>
  <si>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</si>
  <si>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</si>
  <si>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</si>
  <si>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</si>
  <si>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</si>
  <si>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</si>
  <si>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</si>
  <si>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</si>
  <si>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</si>
  <si>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</si>
  <si>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</si>
  <si>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</si>
  <si>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</si>
  <si>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</si>
  <si>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</si>
  <si>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</si>
  <si>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</si>
  <si>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</si>
  <si>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</si>
  <si>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</si>
  <si>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</si>
  <si>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</si>
  <si>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</si>
  <si>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</si>
  <si>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</si>
  <si>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</si>
  <si>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</si>
  <si>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</si>
  <si>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</si>
  <si>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</si>
  <si>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</si>
  <si>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</si>
  <si>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</si>
  <si>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</si>
  <si>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</si>
  <si>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</si>
  <si>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</si>
  <si>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</si>
  <si>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</si>
  <si>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</si>
  <si>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</si>
  <si>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</si>
  <si>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</si>
  <si>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</si>
  <si>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</si>
  <si>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</si>
  <si>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</si>
  <si>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</si>
  <si>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</si>
  <si>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</si>
  <si>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</si>
  <si>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</si>
  <si>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</si>
  <si>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</si>
  <si>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</si>
  <si>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</si>
  <si>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</si>
  <si>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</si>
  <si>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</si>
  <si>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</si>
  <si>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</si>
  <si>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</si>
  <si>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</si>
  <si>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</si>
  <si>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</si>
  <si>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</si>
  <si>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</si>
  <si>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</si>
  <si>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</si>
  <si>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</si>
  <si>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</si>
  <si>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</si>
  <si>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</si>
  <si>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</si>
  <si>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</si>
  <si>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</si>
  <si>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</si>
  <si>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</si>
  <si>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</si>
  <si>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</si>
  <si>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</si>
  <si>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</si>
  <si>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</si>
  <si>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</si>
  <si>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</si>
  <si>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</si>
  <si>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</si>
  <si>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</si>
  <si>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</si>
  <si>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</si>
  <si>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</si>
  <si>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</si>
  <si>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</si>
  <si>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</si>
  <si>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</si>
  <si>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</si>
  <si>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</si>
  <si>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</si>
  <si>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</si>
  <si>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</si>
  <si>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</si>
  <si>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</si>
  <si>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</si>
  <si>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</si>
  <si>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</si>
  <si>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</si>
  <si>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</si>
  <si>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</si>
  <si>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</si>
  <si>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</si>
  <si>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</si>
  <si>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</si>
  <si>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</si>
  <si>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</si>
  <si>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</si>
  <si>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</si>
  <si>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</si>
  <si>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</si>
  <si>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</si>
  <si>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</si>
  <si>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</si>
  <si>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</si>
  <si>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</si>
  <si>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</si>
  <si>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</si>
  <si>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</si>
  <si>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</si>
  <si>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</si>
  <si>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</si>
  <si>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</si>
  <si>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</si>
  <si>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</si>
  <si>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</si>
  <si>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</si>
  <si>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</si>
  <si>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</si>
  <si>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</si>
  <si>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</si>
  <si>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</si>
  <si>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</si>
  <si>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</si>
  <si>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</si>
  <si>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</si>
  <si>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</si>
  <si>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</si>
  <si>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</si>
  <si>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</si>
  <si>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</si>
  <si>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</si>
  <si>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</si>
  <si>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</si>
  <si>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</si>
  <si>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</si>
  <si>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</si>
  <si>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</si>
  <si>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</si>
  <si>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</si>
  <si>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</si>
  <si>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</si>
  <si>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</si>
  <si>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</si>
  <si>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</si>
  <si>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</si>
  <si>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</si>
  <si>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</si>
  <si>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</si>
  <si>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</si>
  <si>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</si>
  <si>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</si>
  <si>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</si>
  <si>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</si>
  <si>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</si>
  <si>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</si>
  <si>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</si>
  <si>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</si>
  <si>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</si>
  <si>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</si>
  <si>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</si>
  <si>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</si>
  <si>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</si>
  <si>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</si>
  <si>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</si>
  <si>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</si>
  <si>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</si>
  <si>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</si>
  <si>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</si>
  <si>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</si>
  <si>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</si>
  <si>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</si>
  <si>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</si>
  <si>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</si>
  <si>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</si>
  <si>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</si>
  <si>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</si>
  <si>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</si>
  <si>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</si>
  <si>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</si>
  <si>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</si>
  <si>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</si>
  <si>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</si>
  <si>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</si>
  <si>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</si>
  <si>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</si>
  <si>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</si>
  <si>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</si>
  <si>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</si>
  <si>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</si>
  <si>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</si>
  <si>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</si>
  <si>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</si>
  <si>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</si>
  <si>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</si>
  <si>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</si>
  <si>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</si>
  <si>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</si>
  <si>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</si>
  <si>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</si>
  <si>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</si>
  <si>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</si>
  <si>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</si>
  <si>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</si>
  <si>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</si>
  <si>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</si>
  <si>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</si>
  <si>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</si>
  <si>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</si>
  <si>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</si>
  <si>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</si>
  <si>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</si>
  <si>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</si>
  <si>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</si>
  <si>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</si>
  <si>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</si>
  <si>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</si>
  <si>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</si>
  <si>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</si>
  <si>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</si>
  <si>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</si>
  <si>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</si>
  <si>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</si>
  <si>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</si>
  <si>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</si>
  <si>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</si>
  <si>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</si>
  <si>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</si>
  <si>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</si>
  <si>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</si>
  <si>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</si>
  <si>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</si>
  <si>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</si>
  <si>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</si>
  <si>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</si>
  <si>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</si>
  <si>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</si>
  <si>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</si>
  <si>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</si>
  <si>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</si>
  <si>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</si>
  <si>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</si>
  <si>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</si>
  <si>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</si>
  <si>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</si>
  <si>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</si>
  <si>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</si>
  <si>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</si>
  <si>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</si>
  <si>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</si>
  <si>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</si>
  <si>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</si>
  <si>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</si>
  <si>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</si>
  <si>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</si>
  <si>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</si>
  <si>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</si>
  <si>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</si>
  <si>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</si>
  <si>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</si>
  <si>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</si>
  <si>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</si>
  <si>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</si>
  <si>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</si>
  <si>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</si>
  <si>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</si>
  <si>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</si>
  <si>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</si>
  <si>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</si>
  <si>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</si>
  <si>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</si>
  <si>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</si>
  <si>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</si>
  <si>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</si>
  <si>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</si>
  <si>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</si>
  <si>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</si>
  <si>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</si>
  <si>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</si>
  <si>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</si>
  <si>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</si>
  <si>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</si>
  <si>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</si>
  <si>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</si>
  <si>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</si>
  <si>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</si>
  <si>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</si>
  <si>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</si>
  <si>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</si>
  <si>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</si>
  <si>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</si>
  <si>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</si>
  <si>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</si>
  <si>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</si>
  <si>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</si>
  <si>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</si>
  <si>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</si>
  <si>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</si>
  <si>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</si>
  <si>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</si>
  <si>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</si>
  <si>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</si>
  <si>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</si>
  <si>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</si>
  <si>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</si>
  <si>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</si>
  <si>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</si>
  <si>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</si>
  <si>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</si>
  <si>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</si>
  <si>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</si>
  <si>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</si>
  <si>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</si>
  <si>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</si>
  <si>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</si>
  <si>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</si>
  <si>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</si>
  <si>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</si>
  <si>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</si>
  <si>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</si>
  <si>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</si>
  <si>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</si>
  <si>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</si>
  <si>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</si>
  <si>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</si>
  <si>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</si>
  <si>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</si>
  <si>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</si>
  <si>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</si>
  <si>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</si>
  <si>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</si>
  <si>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</si>
  <si>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</si>
  <si>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</si>
  <si>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</si>
  <si>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</si>
  <si>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</si>
  <si>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</si>
  <si>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</si>
  <si>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</si>
  <si>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</si>
  <si>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</si>
  <si>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</si>
  <si>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</si>
  <si>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</si>
  <si>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</si>
  <si>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</si>
  <si>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</si>
  <si>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</si>
  <si>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</si>
  <si>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</si>
  <si>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</si>
  <si>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</si>
  <si>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</si>
  <si>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</si>
  <si>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</si>
  <si>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</si>
  <si>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</si>
  <si>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</si>
  <si>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</si>
  <si>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</si>
  <si>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</si>
  <si>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</si>
  <si>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</si>
  <si>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</si>
  <si>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</si>
  <si>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</si>
  <si>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</si>
  <si>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</si>
  <si>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</si>
  <si>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</si>
  <si>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</si>
  <si>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</si>
  <si>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</si>
  <si>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</si>
  <si>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</si>
  <si>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</si>
  <si>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</si>
  <si>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</si>
  <si>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</si>
  <si>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</si>
  <si>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</si>
  <si>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</si>
  <si>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</si>
  <si>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</si>
  <si>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</si>
  <si>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</si>
  <si>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</si>
  <si>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</si>
  <si>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</si>
  <si>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</si>
  <si>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</si>
  <si>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</si>
  <si>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</si>
  <si>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</si>
  <si>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</si>
  <si>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</si>
  <si>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</si>
  <si>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</si>
  <si>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</si>
  <si>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</si>
  <si>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</si>
  <si>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</si>
  <si>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</si>
  <si>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</si>
  <si>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</si>
  <si>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</si>
  <si>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</si>
  <si>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</si>
  <si>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</si>
  <si>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</si>
  <si>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</si>
  <si>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</si>
  <si>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</si>
  <si>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</si>
  <si>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</si>
  <si>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</si>
  <si>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</si>
  <si>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</si>
  <si>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</si>
  <si>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</si>
  <si>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</si>
  <si>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</si>
  <si>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</si>
  <si>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</si>
  <si>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</si>
  <si>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</si>
  <si>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</si>
  <si>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</si>
  <si>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</si>
  <si>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</si>
  <si>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</si>
  <si>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</si>
  <si>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</si>
  <si>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</si>
  <si>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</si>
  <si>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</si>
  <si>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</si>
  <si>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</si>
  <si>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</si>
  <si>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</si>
  <si>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</si>
  <si>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</si>
  <si>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</si>
  <si>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</si>
  <si>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</si>
  <si>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</si>
  <si>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</si>
  <si>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</si>
  <si>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</si>
  <si>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</si>
  <si>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</si>
  <si>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</si>
  <si>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</si>
  <si>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</si>
  <si>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</si>
  <si>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</si>
  <si>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</si>
  <si>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</si>
  <si>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</si>
  <si>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</si>
  <si>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</si>
  <si>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</si>
  <si>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</si>
  <si>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</si>
  <si>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</si>
  <si>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</si>
  <si>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</si>
  <si>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</si>
  <si>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</si>
  <si>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</si>
  <si>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</si>
  <si>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</si>
  <si>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</si>
  <si>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</si>
  <si>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</si>
  <si>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</si>
  <si>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</si>
  <si>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</si>
  <si>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</si>
  <si>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</si>
  <si>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</si>
  <si>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</si>
  <si>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</si>
  <si>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</si>
  <si>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</si>
  <si>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</si>
  <si>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</si>
  <si>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</si>
  <si>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</si>
  <si>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</si>
  <si>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</si>
  <si>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</si>
  <si>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</si>
  <si>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</si>
  <si>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</si>
  <si>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</si>
  <si>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</si>
  <si>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</si>
  <si>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</si>
  <si>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</si>
  <si>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</si>
  <si>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</si>
  <si>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</si>
  <si>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</si>
  <si>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</si>
  <si>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</si>
  <si>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</si>
  <si>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</si>
  <si>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</si>
  <si>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</si>
  <si>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</si>
  <si>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</si>
  <si>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</si>
  <si>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</si>
  <si>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</si>
  <si>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</si>
  <si>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</si>
  <si>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</si>
  <si>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</si>
  <si>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</si>
  <si>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</si>
  <si>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</si>
  <si>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</si>
  <si>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</si>
  <si>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</si>
  <si>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</si>
  <si>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</si>
  <si>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</si>
  <si>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</si>
  <si>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</si>
  <si>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</si>
  <si>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</si>
  <si>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</si>
  <si>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</si>
  <si>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</si>
  <si>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</si>
  <si>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</si>
  <si>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</si>
  <si>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</si>
  <si>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</si>
  <si>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</si>
  <si>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</si>
  <si>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</si>
  <si>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</si>
  <si>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</si>
  <si>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</si>
  <si>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</si>
  <si>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</si>
  <si>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</si>
  <si>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</si>
  <si>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</si>
  <si>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</si>
  <si>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</si>
  <si>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</si>
  <si>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</si>
  <si>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</si>
  <si>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</si>
  <si>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</si>
  <si>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</si>
  <si>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</si>
  <si>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</si>
  <si>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</si>
  <si>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</si>
  <si>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</si>
  <si>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</si>
  <si>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</si>
  <si>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</si>
  <si>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</si>
  <si>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</si>
  <si>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</si>
  <si>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</si>
  <si>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</si>
  <si>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</si>
  <si>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</si>
  <si>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</si>
  <si>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</si>
  <si>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</si>
  <si>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</si>
  <si>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</si>
  <si>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</si>
  <si>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</si>
  <si>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</si>
  <si>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</si>
  <si>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</si>
  <si>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</si>
  <si>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</si>
  <si>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</si>
  <si>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</si>
  <si>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</si>
  <si>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</si>
  <si>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</si>
  <si>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</si>
  <si>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</si>
  <si>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</si>
  <si>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</si>
  <si>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</si>
  <si>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</si>
  <si>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</si>
  <si>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</si>
  <si>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</si>
  <si>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</si>
  <si>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</si>
  <si>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</si>
  <si>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</si>
  <si>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</si>
  <si>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</si>
  <si>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</si>
  <si>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</si>
  <si>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</si>
  <si>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</si>
  <si>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</si>
  <si>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</si>
  <si>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</si>
  <si>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</si>
  <si>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</si>
  <si>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</si>
  <si>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</si>
  <si>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</si>
  <si>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</si>
  <si>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</si>
  <si>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</si>
  <si>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</si>
  <si>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</si>
  <si>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</si>
  <si>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</si>
  <si>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</si>
  <si>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</si>
  <si>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</si>
  <si>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</si>
  <si>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</si>
  <si>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</si>
  <si>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</si>
  <si>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</si>
  <si>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</si>
  <si>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</si>
  <si>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</si>
  <si>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</si>
  <si>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</si>
  <si>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</si>
  <si>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</si>
  <si>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</si>
  <si>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</si>
  <si>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</si>
  <si>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</si>
  <si>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</si>
  <si>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</si>
  <si>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</si>
  <si>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</si>
  <si>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</si>
  <si>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</si>
  <si>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</si>
  <si>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</si>
  <si>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</si>
  <si>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</si>
  <si>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</si>
  <si>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</si>
  <si>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</si>
  <si>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</si>
  <si>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</si>
  <si>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</si>
  <si>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</si>
  <si>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</si>
  <si>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</si>
  <si>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</si>
  <si>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</si>
  <si>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</si>
  <si>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</si>
  <si>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</si>
  <si>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</si>
  <si>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</si>
  <si>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</si>
  <si>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</si>
  <si>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</si>
  <si>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</si>
  <si>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</si>
  <si>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</si>
  <si>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</si>
  <si>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</si>
  <si>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</si>
  <si>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</si>
  <si>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</si>
  <si>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</si>
  <si>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</si>
  <si>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</si>
  <si>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</si>
  <si>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</si>
  <si>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</si>
  <si>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</si>
  <si>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</si>
  <si>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</si>
  <si>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</si>
  <si>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</si>
  <si>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</si>
  <si>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</si>
  <si>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</si>
  <si>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</si>
  <si>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</si>
  <si>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</si>
  <si>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</si>
  <si>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</si>
  <si>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</si>
  <si>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</si>
  <si>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</si>
  <si>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</si>
  <si>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</si>
  <si>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</si>
  <si>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</si>
  <si>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</si>
  <si>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</si>
  <si>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</si>
  <si>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</si>
  <si>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</si>
  <si>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</si>
  <si>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</si>
  <si>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</si>
  <si>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</si>
  <si>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</si>
  <si>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</si>
  <si>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</si>
  <si>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</si>
  <si>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</si>
  <si>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</si>
  <si>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</si>
  <si>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</si>
  <si>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</si>
  <si>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</si>
  <si>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</si>
  <si>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</si>
  <si>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</si>
  <si>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</si>
  <si>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</si>
  <si>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</si>
  <si>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</si>
  <si>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</si>
  <si>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</si>
  <si>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</si>
  <si>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</si>
  <si>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</si>
  <si>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</si>
  <si>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</si>
  <si>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</si>
  <si>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</si>
  <si>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</si>
  <si>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</si>
  <si>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</si>
  <si>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</si>
  <si>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</si>
  <si>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</si>
  <si>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</si>
  <si>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</si>
  <si>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</si>
  <si>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</si>
  <si>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</si>
  <si>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</si>
  <si>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</si>
  <si>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</si>
  <si>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</si>
  <si>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</si>
  <si>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</si>
  <si>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</si>
  <si>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</si>
  <si>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</si>
  <si>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</si>
  <si>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</si>
  <si>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</si>
  <si>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</si>
  <si>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</si>
  <si>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</si>
  <si>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</si>
  <si>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</si>
  <si>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</si>
  <si>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</si>
  <si>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</si>
  <si>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</si>
  <si>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</si>
  <si>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</si>
  <si>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</si>
  <si>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</si>
  <si>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</si>
  <si>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</si>
  <si>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</si>
  <si>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</si>
  <si>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</si>
  <si>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</si>
  <si>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</si>
  <si>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</si>
  <si>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</si>
  <si>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</si>
  <si>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</si>
  <si>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</si>
  <si>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</si>
  <si>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</si>
  <si>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</si>
  <si>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</si>
  <si>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</si>
  <si>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</si>
  <si>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</si>
  <si>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</si>
  <si>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</si>
  <si>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</si>
  <si>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</si>
  <si>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</si>
  <si>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</si>
  <si>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</si>
  <si>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</si>
  <si>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</si>
  <si>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</si>
  <si>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</si>
  <si>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</si>
  <si>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</si>
  <si>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</si>
  <si>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</si>
  <si>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</si>
  <si>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</si>
  <si>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</si>
  <si>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</si>
  <si>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</si>
  <si>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</si>
  <si>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</si>
  <si>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</si>
  <si>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</si>
  <si>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</si>
  <si>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</si>
  <si>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</si>
  <si>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</si>
  <si>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</si>
  <si>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</si>
  <si>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</si>
  <si>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</si>
  <si>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</si>
  <si>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</si>
  <si>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</si>
  <si>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</si>
  <si>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</si>
  <si>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</si>
  <si>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</si>
  <si>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</si>
  <si>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</si>
  <si>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</si>
  <si>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</si>
  <si>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</si>
  <si>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</si>
  <si>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</si>
  <si>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</si>
  <si>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</si>
  <si>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</si>
  <si>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</si>
  <si>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</si>
  <si>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</si>
  <si>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</si>
  <si>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</si>
  <si>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</si>
  <si>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</si>
  <si>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</si>
  <si>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</si>
  <si>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</si>
  <si>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</si>
  <si>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</si>
  <si>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</si>
  <si>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</si>
  <si>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</si>
  <si>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</si>
  <si>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</si>
  <si>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</si>
  <si>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</si>
  <si>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</si>
  <si>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</si>
  <si>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</si>
  <si>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</si>
  <si>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</si>
  <si>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</si>
  <si>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</si>
  <si>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</si>
  <si>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</si>
  <si>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</si>
  <si>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</si>
  <si>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</si>
  <si>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</si>
  <si>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</si>
  <si>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</si>
  <si>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</si>
  <si>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</si>
  <si>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</si>
  <si>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</si>
  <si>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</si>
  <si>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</si>
  <si>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</si>
  <si>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</si>
  <si>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</si>
  <si>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</si>
  <si>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</si>
  <si>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</si>
  <si>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</si>
  <si>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</si>
  <si>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</si>
  <si>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</si>
  <si>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</si>
  <si>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</si>
  <si>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</si>
  <si>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</si>
  <si>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</si>
  <si>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</si>
  <si>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</si>
  <si>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</si>
  <si>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</si>
  <si>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</si>
  <si>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</si>
  <si>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</si>
  <si>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</si>
  <si>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</si>
  <si>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</si>
  <si>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</si>
  <si>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</si>
  <si>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</si>
  <si>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</si>
  <si>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</si>
  <si>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</si>
  <si>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</si>
  <si>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</si>
  <si>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</si>
  <si>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</si>
  <si>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</si>
  <si>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</si>
  <si>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</si>
  <si>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</si>
  <si>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</si>
  <si>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</si>
  <si>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</si>
  <si>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</si>
  <si>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</si>
  <si>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</si>
  <si>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</si>
  <si>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</si>
  <si>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</si>
  <si>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</si>
  <si>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</si>
  <si>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</si>
  <si>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</si>
  <si>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</si>
  <si>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</si>
  <si>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</si>
  <si>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</si>
  <si>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</si>
  <si>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</si>
  <si>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</si>
  <si>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</si>
  <si>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</si>
  <si>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</si>
  <si>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</si>
  <si>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</si>
  <si>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</si>
  <si>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</si>
  <si>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</si>
  <si>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</si>
  <si>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</si>
  <si>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</si>
  <si>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</si>
  <si>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</si>
  <si>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</si>
  <si>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</si>
  <si>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</si>
  <si>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</si>
  <si>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</si>
  <si>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</si>
  <si>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</si>
  <si>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</si>
  <si>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</si>
  <si>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</si>
  <si>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</si>
  <si>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</si>
  <si>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</si>
  <si>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</si>
  <si>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</si>
  <si>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</si>
  <si>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</si>
  <si>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</si>
  <si>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</si>
  <si>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</si>
  <si>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</si>
  <si>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</si>
  <si>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</si>
  <si>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</si>
  <si>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</si>
  <si>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</si>
  <si>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</si>
  <si>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</si>
  <si>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</si>
  <si>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</si>
  <si>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</si>
  <si>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</si>
  <si>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</si>
  <si>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</si>
  <si>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</si>
  <si>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</si>
  <si>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</si>
  <si>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</si>
  <si>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</si>
  <si>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</si>
  <si>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</si>
  <si>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</si>
  <si>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</si>
  <si>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</si>
  <si>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</si>
  <si>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</si>
  <si>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</si>
  <si>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</si>
  <si>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</si>
  <si>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</si>
  <si>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</si>
  <si>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</si>
  <si>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</si>
  <si>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</si>
  <si>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</si>
  <si>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</si>
  <si>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</si>
  <si>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</si>
  <si>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</si>
  <si>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</si>
  <si>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</si>
  <si>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</si>
  <si>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</si>
  <si>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</si>
  <si>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</si>
  <si>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</si>
  <si>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</si>
  <si>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</si>
  <si>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</si>
  <si>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</si>
  <si>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</si>
  <si>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</si>
  <si>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</si>
  <si>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</si>
  <si>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</si>
  <si>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</si>
  <si>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</si>
  <si>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</si>
  <si>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</si>
  <si>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</si>
  <si>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</si>
  <si>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</si>
  <si>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</si>
  <si>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</si>
  <si>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</si>
  <si>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</si>
  <si>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</si>
  <si>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</si>
  <si>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</si>
  <si>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</si>
  <si>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</si>
  <si>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</si>
  <si>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</si>
  <si>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</si>
  <si>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</si>
  <si>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</si>
  <si>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</si>
  <si>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</si>
  <si>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</si>
  <si>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</si>
  <si>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</si>
  <si>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</si>
  <si>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</si>
  <si>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</si>
  <si>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</si>
  <si>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</si>
  <si>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</si>
  <si>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</si>
  <si>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</si>
  <si>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</si>
  <si>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</si>
  <si>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</si>
  <si>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</si>
  <si>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</si>
  <si>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</si>
  <si>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</si>
  <si>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</si>
  <si>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</si>
  <si>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</si>
  <si>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</si>
  <si>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</si>
  <si>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</si>
  <si>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</si>
  <si>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</si>
  <si>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</si>
  <si>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</si>
  <si>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</si>
  <si>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</si>
  <si>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</si>
  <si>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</si>
  <si>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</si>
  <si>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</si>
  <si>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</si>
  <si>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</si>
  <si>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</si>
  <si>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</si>
  <si>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</si>
  <si>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</si>
  <si>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</si>
  <si>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</si>
  <si>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</si>
  <si>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</si>
  <si>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</si>
  <si>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</si>
  <si>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</si>
  <si>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</si>
  <si>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</si>
  <si>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</si>
  <si>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</si>
  <si>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</si>
  <si>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</si>
  <si>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</si>
  <si>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</si>
  <si>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</si>
  <si>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</si>
  <si>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</si>
  <si>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</si>
  <si>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</si>
  <si>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</si>
  <si>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</si>
  <si>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</si>
  <si>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</si>
  <si>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</si>
  <si>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</si>
  <si>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</si>
  <si>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</si>
  <si>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</si>
  <si>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</si>
  <si>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</si>
  <si>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</si>
  <si>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</si>
  <si>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</si>
  <si>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</si>
  <si>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</si>
  <si>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</si>
  <si>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</si>
  <si>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</si>
  <si>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</si>
  <si>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</si>
  <si>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</si>
  <si>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</si>
  <si>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</si>
  <si>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</si>
  <si>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</si>
  <si>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</si>
  <si>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</si>
  <si>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</si>
  <si>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</si>
  <si>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</si>
  <si>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</si>
  <si>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</si>
  <si>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</si>
  <si>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</si>
  <si>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</si>
  <si>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</si>
  <si>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</si>
  <si>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</si>
  <si>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</si>
  <si>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</si>
  <si>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</si>
  <si>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</si>
  <si>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</si>
  <si>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</si>
  <si>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</si>
  <si>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</si>
  <si>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</si>
  <si>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</si>
  <si>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</si>
  <si>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</si>
  <si>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</si>
  <si>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</si>
  <si>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</si>
  <si>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</si>
  <si>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</si>
  <si>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</si>
  <si>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</si>
  <si>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</si>
  <si>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</si>
  <si>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</si>
  <si>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</si>
  <si>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</si>
  <si>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</si>
  <si>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</si>
  <si>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</si>
  <si>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</si>
  <si>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</si>
  <si>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</si>
  <si>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</si>
  <si>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</si>
  <si>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</si>
  <si>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</si>
  <si>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</si>
  <si>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</si>
  <si>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</si>
  <si>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</si>
  <si>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</si>
  <si>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</si>
  <si>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</si>
  <si>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</si>
  <si>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</si>
  <si>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</si>
  <si>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</si>
  <si>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</si>
  <si>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</si>
  <si>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</si>
  <si>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</si>
  <si>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</si>
  <si>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</si>
  <si>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</si>
  <si>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</si>
  <si>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</si>
  <si>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</si>
  <si>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</si>
  <si>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</si>
  <si>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</si>
  <si>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</si>
  <si>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</si>
  <si>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</si>
  <si>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</si>
  <si>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</si>
  <si>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</si>
  <si>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</si>
  <si>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</si>
  <si>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</si>
  <si>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</si>
  <si>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</si>
  <si>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</si>
  <si>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</si>
  <si>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</si>
  <si>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</si>
  <si>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</si>
  <si>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</si>
  <si>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</si>
  <si>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</si>
  <si>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</si>
  <si>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</si>
  <si>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</si>
  <si>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</si>
  <si>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</si>
  <si>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</si>
  <si>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</si>
  <si>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</si>
  <si>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</si>
  <si>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</si>
  <si>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</si>
  <si>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</si>
  <si>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</si>
  <si>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</si>
  <si>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</si>
  <si>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</si>
  <si>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</si>
  <si>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</si>
  <si>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</si>
  <si>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</si>
  <si>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</si>
  <si>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</si>
  <si>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</si>
  <si>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</si>
  <si>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</si>
  <si>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</si>
  <si>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</si>
  <si>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</si>
  <si>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</si>
  <si>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</si>
  <si>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</si>
  <si>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</si>
  <si>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</si>
  <si>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</si>
  <si>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</si>
  <si>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</si>
  <si>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</si>
  <si>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</si>
  <si>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</si>
  <si>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</si>
  <si>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</si>
  <si>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</si>
  <si>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</si>
  <si>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</si>
  <si>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</si>
  <si>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</si>
  <si>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</si>
  <si>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</si>
  <si>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</si>
  <si>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</si>
  <si>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</si>
  <si>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</si>
  <si>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</si>
  <si>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</si>
  <si>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</si>
  <si>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</si>
  <si>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</si>
  <si>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</si>
  <si>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</si>
  <si>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</si>
  <si>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</si>
  <si>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</si>
  <si>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</si>
  <si>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</si>
  <si>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</si>
  <si>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</si>
  <si>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</si>
  <si>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</si>
  <si>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</si>
  <si>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</si>
  <si>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</si>
  <si>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</si>
  <si>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</si>
  <si>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</si>
  <si>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</si>
  <si>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</si>
  <si>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</si>
  <si>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</si>
  <si>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</si>
  <si>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</si>
  <si>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</si>
  <si>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</si>
  <si>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</si>
  <si>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</si>
  <si>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</si>
  <si>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</si>
  <si>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</si>
  <si>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</si>
  <si>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</si>
  <si>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</si>
  <si>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</si>
  <si>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</si>
  <si>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</si>
  <si>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</si>
  <si>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</si>
  <si>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</si>
  <si>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</si>
  <si>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</si>
  <si>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</si>
  <si>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</si>
  <si>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</si>
  <si>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</si>
  <si>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</si>
  <si>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</si>
  <si>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</si>
  <si>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</si>
  <si>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</si>
  <si>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</si>
  <si>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</si>
  <si>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</si>
  <si>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</si>
  <si>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</si>
  <si>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</si>
  <si>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</si>
  <si>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</si>
  <si>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</si>
  <si>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</si>
  <si>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</si>
  <si>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</si>
  <si>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</si>
  <si>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</si>
  <si>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</si>
  <si>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</si>
  <si>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</si>
  <si>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</si>
  <si>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</si>
  <si>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</si>
  <si>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</si>
  <si>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</si>
  <si>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</si>
  <si>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</si>
  <si>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</si>
  <si>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</si>
  <si>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</si>
  <si>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</si>
  <si>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</si>
  <si>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</si>
  <si>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</si>
  <si>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</si>
  <si>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</si>
  <si>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</si>
  <si>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</si>
  <si>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</si>
  <si>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</si>
  <si>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</si>
  <si>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</si>
  <si>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</si>
  <si>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</si>
  <si>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</si>
  <si>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</si>
  <si>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</si>
  <si>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</si>
  <si>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</si>
  <si>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</si>
  <si>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</si>
  <si>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</si>
  <si>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</si>
  <si>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</si>
  <si>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</si>
  <si>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</si>
  <si>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</si>
  <si>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</si>
  <si>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</si>
  <si>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</si>
  <si>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</si>
  <si>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</si>
  <si>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</si>
  <si>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</si>
  <si>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</si>
  <si>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</si>
  <si>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</si>
  <si>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</si>
  <si>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</si>
  <si>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</si>
  <si>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</si>
  <si>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</si>
  <si>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</si>
  <si>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</si>
  <si>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</si>
  <si>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</si>
  <si>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</si>
  <si>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</si>
  <si>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</si>
  <si>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</si>
  <si>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</si>
  <si>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</si>
  <si>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</si>
  <si>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</si>
  <si>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</si>
  <si>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</si>
  <si>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</si>
  <si>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</si>
  <si>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</si>
  <si>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</si>
  <si>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</si>
  <si>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</si>
  <si>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</si>
  <si>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</si>
  <si>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</si>
  <si>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</si>
  <si>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</si>
  <si>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</si>
  <si>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</si>
  <si>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</si>
  <si>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</si>
  <si>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</si>
  <si>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</si>
  <si>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</si>
  <si>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</si>
  <si>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</si>
  <si>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</si>
  <si>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</si>
  <si>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</si>
  <si>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</si>
  <si>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</si>
  <si>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</si>
  <si>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</si>
  <si>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</si>
  <si>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</si>
  <si>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</si>
  <si>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</si>
  <si>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</si>
  <si>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</si>
  <si>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</si>
  <si>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</si>
  <si>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</si>
  <si>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</si>
  <si>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</si>
  <si>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</si>
  <si>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</si>
  <si>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</si>
  <si>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</si>
  <si>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</si>
  <si>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</si>
  <si>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</si>
  <si>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</si>
  <si>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</si>
  <si>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</si>
  <si>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</si>
  <si>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</si>
  <si>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</si>
  <si>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</si>
  <si>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</si>
  <si>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</si>
  <si>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</si>
  <si>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</si>
  <si>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</si>
  <si>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</si>
  <si>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</si>
  <si>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</si>
  <si>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</si>
  <si>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</si>
  <si>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</si>
  <si>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</si>
  <si>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</si>
  <si>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</si>
  <si>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</si>
  <si>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</si>
  <si>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</si>
  <si>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</si>
  <si>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</si>
  <si>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</si>
  <si>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</si>
  <si>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</si>
  <si>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</si>
  <si>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</si>
  <si>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</si>
  <si>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</si>
  <si>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</si>
  <si>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</si>
  <si>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</si>
  <si>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</si>
  <si>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</si>
  <si>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</si>
  <si>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</si>
  <si>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</si>
  <si>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</si>
  <si>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</si>
  <si>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</si>
  <si>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</si>
  <si>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</si>
  <si>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</si>
  <si>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</si>
  <si>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</si>
  <si>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</si>
  <si>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</si>
  <si>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</si>
  <si>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</si>
  <si>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</si>
  <si>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</si>
  <si>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</si>
  <si>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</si>
  <si>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</si>
  <si>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</si>
  <si>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</si>
  <si>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</si>
  <si>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</si>
  <si>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</si>
  <si>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</si>
  <si>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</si>
  <si>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</si>
  <si>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</si>
  <si>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</si>
  <si>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</si>
  <si>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</si>
  <si>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</si>
  <si>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</si>
  <si>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</si>
  <si>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</si>
  <si>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</si>
  <si>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</si>
  <si>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</si>
  <si>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</si>
  <si>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</si>
  <si>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</si>
  <si>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</si>
  <si>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</si>
  <si>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</si>
  <si>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</si>
  <si>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</si>
  <si>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</si>
  <si>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</si>
  <si>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</si>
  <si>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</si>
  <si>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</si>
  <si>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</si>
  <si>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</si>
  <si>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</si>
  <si>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</si>
  <si>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</si>
  <si>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</si>
  <si>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</si>
  <si>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</si>
  <si>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</si>
  <si>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</si>
  <si>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</si>
  <si>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</si>
  <si>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</si>
  <si>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</si>
  <si>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</si>
  <si>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</si>
  <si>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</si>
  <si>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</si>
  <si>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</si>
  <si>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</si>
  <si>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</si>
  <si>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</si>
  <si>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</si>
  <si>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</si>
  <si>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</si>
  <si>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</si>
  <si>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</si>
  <si>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</si>
  <si>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</si>
  <si>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</si>
  <si>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</si>
  <si>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</si>
  <si>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</si>
  <si>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</si>
  <si>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</si>
  <si>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</si>
  <si>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</si>
  <si>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</si>
  <si>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</si>
  <si>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</si>
  <si>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</si>
  <si>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</si>
  <si>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</si>
  <si>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</si>
  <si>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</si>
  <si>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</si>
  <si>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</si>
  <si>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</si>
  <si>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</si>
  <si>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</si>
  <si>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30000 to 34999</t>
  </si>
  <si>
    <t>40000 to 44999</t>
  </si>
  <si>
    <t>15000 to 19999</t>
  </si>
  <si>
    <t>25000 to 29999</t>
  </si>
  <si>
    <t>45000 to 49999</t>
  </si>
  <si>
    <t>&gt;= 50000</t>
  </si>
  <si>
    <t>35000 to 39999</t>
  </si>
  <si>
    <t>Total</t>
  </si>
  <si>
    <t>Mean</t>
  </si>
  <si>
    <t>Median</t>
  </si>
  <si>
    <t>Minimum</t>
  </si>
  <si>
    <t>Maximum</t>
  </si>
  <si>
    <t>Variance</t>
  </si>
  <si>
    <t>STDev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</si>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</sst>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m/d/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9" fontId="0" fillId="0" borderId="0" xfId="0" applyNumberFormat="1"/>
    <xf numFmtId="0" fontId="3" fillId="2" borderId="0" xfId="2"/>
    <xf numFmtId="0" fontId="4" fillId="3" borderId="0" xfId="3"/>
    <xf numFmtId="1" fontId="4" fillId="3" borderId="0" xfId="3" applyNumberFormat="1"/>
    <xf numFmtId="0" fontId="5" fillId="2" borderId="1" xfId="2" applyFont="1" applyBorder="1"/>
    <xf numFmtId="0" fontId="6" fillId="3" borderId="1" xfId="3" applyFont="1" applyBorder="1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12">
    <dxf>
      <fill>
        <patternFill>
          <bgColor rgb="FFFFC7CE"/>
        </patternFill>
      </fill>
    </dxf>
    <dxf>
      <font>
        <b val="0"/>
        <i val="0"/>
      </font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b val="0"/>
        <i val="0"/>
      </font>
      <fill>
        <patternFill>
          <bgColor rgb="FFFFC000"/>
        </patternFill>
      </fill>
    </dxf>
    <dxf>
      <font>
        <b val="0"/>
        <i val="0"/>
      </font>
      <fill>
        <patternFill>
          <bgColor theme="4"/>
        </patternFill>
      </fill>
    </dxf>
    <dxf>
      <font>
        <b val="0"/>
        <i val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[Excel_JakeGeiser.xlsx]Category Stats!PivotTable1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E-4073-9419-0E63271C5CC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CE-4073-9419-0E63271C5CC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CE-4073-9419-0E63271C5CC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1-4B29-AAC7-4077E5D2A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445647"/>
        <c:axId val="2050081711"/>
      </c:barChart>
      <c:catAx>
        <c:axId val="190844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081711"/>
        <c:crosses val="autoZero"/>
        <c:auto val="1"/>
        <c:lblAlgn val="ctr"/>
        <c:lblOffset val="100"/>
        <c:noMultiLvlLbl val="0"/>
      </c:catAx>
      <c:valAx>
        <c:axId val="20500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4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[Excel_JakeGeiser.xlsx]Sub-Category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5-45BB-BDDA-475C828B642F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5-45BB-BDDA-475C828B642F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D5-45BB-BDDA-475C828B642F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 Stats'!$E$6:$E$15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D5-45BB-BDDA-475C828B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1664911"/>
        <c:axId val="1612766063"/>
      </c:barChart>
      <c:catAx>
        <c:axId val="171166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66063"/>
        <c:crosses val="autoZero"/>
        <c:auto val="1"/>
        <c:lblAlgn val="ctr"/>
        <c:lblOffset val="100"/>
        <c:noMultiLvlLbl val="0"/>
      </c:catAx>
      <c:valAx>
        <c:axId val="161276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66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[Excel_JakeGeiser.xlsx]Date Stats!PivotTable2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B-4987-917F-0B3C80A8ED47}"/>
            </c:ext>
          </c:extLst>
        </c:ser>
        <c:ser>
          <c:idx val="1"/>
          <c:order val="1"/>
          <c:tx>
            <c:strRef>
              <c:f>'Date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6B-4987-917F-0B3C80A8ED47}"/>
            </c:ext>
          </c:extLst>
        </c:ser>
        <c:ser>
          <c:idx val="2"/>
          <c:order val="2"/>
          <c:tx>
            <c:strRef>
              <c:f>'Date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'Date Stats'!$A$6:$A$18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6B-4987-917F-0B3C80A8E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972959"/>
        <c:axId val="1612758991"/>
      </c:lineChart>
      <c:catAx>
        <c:axId val="175797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758991"/>
        <c:crosses val="autoZero"/>
        <c:auto val="1"/>
        <c:lblAlgn val="ctr"/>
        <c:lblOffset val="100"/>
        <c:noMultiLvlLbl val="0"/>
      </c:catAx>
      <c:valAx>
        <c:axId val="16127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7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Bonus1!$A$13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E-4DFD-B306-9C9FD43D8A26}"/>
            </c:ext>
          </c:extLst>
        </c:ser>
        <c:ser>
          <c:idx val="1"/>
          <c:order val="1"/>
          <c:tx>
            <c:strRef>
              <c:f>Bonus1!$F$1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E-4DFD-B306-9C9FD43D8A26}"/>
            </c:ext>
          </c:extLst>
        </c:ser>
        <c:ser>
          <c:idx val="2"/>
          <c:order val="2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E-4DFD-B306-9C9FD43D8A26}"/>
            </c:ext>
          </c:extLst>
        </c:ser>
        <c:ser>
          <c:idx val="3"/>
          <c:order val="3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5E-4DFD-B306-9C9FD43D8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8263935"/>
        <c:axId val="1514946975"/>
      </c:lineChart>
      <c:catAx>
        <c:axId val="164826393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946975"/>
        <c:crosses val="autoZero"/>
        <c:auto val="0"/>
        <c:lblAlgn val="ctr"/>
        <c:lblOffset val="100"/>
        <c:noMultiLvlLbl val="0"/>
      </c:catAx>
      <c:valAx>
        <c:axId val="15149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26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176212</xdr:rowOff>
    </xdr:from>
    <xdr:to>
      <xdr:col>15</xdr:col>
      <xdr:colOff>314325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63E5F-1050-482B-BC74-B72518F8F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109536</xdr:rowOff>
    </xdr:from>
    <xdr:to>
      <xdr:col>19</xdr:col>
      <xdr:colOff>266700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0CC02-D327-4D16-B88B-FA031059D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2</xdr:row>
      <xdr:rowOff>176211</xdr:rowOff>
    </xdr:from>
    <xdr:to>
      <xdr:col>17</xdr:col>
      <xdr:colOff>381000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1BF9B-DFF6-4856-9773-89D8604B7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185737</xdr:rowOff>
    </xdr:from>
    <xdr:to>
      <xdr:col>17</xdr:col>
      <xdr:colOff>314325</xdr:colOff>
      <xdr:row>35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B1548-0961-495F-BDD2-CEABD05AE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Geiser" refreshedDate="43998.739127314817" createdVersion="6" refreshedVersion="6" minRefreshableVersion="3" recordCount="4114" xr:uid="{F947C7D1-23F4-4C4A-A1F0-AE0B83BF5643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Geiser" refreshedDate="44000.524817245372" createdVersion="6" refreshedVersion="6" minRefreshableVersion="3" recordCount="4114" xr:uid="{B125CA22-D727-4EEB-839A-7EEE4EDDDE4F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F73BF-7129-46D3-A37B-45BF4F6FBF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5CBD8-5400-44FE-B19C-58742A0B0F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F14C1-E9AA-4079-9CDA-0879922FC9B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V13" sqref="V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ht="21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8333</v>
      </c>
      <c r="T1" s="5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X9">
    <cfRule type="cellIs" dxfId="11" priority="13" operator="equal">
      <formula>"successful"</formula>
    </cfRule>
  </conditionalFormatting>
  <conditionalFormatting sqref="F1:F4115">
    <cfRule type="containsText" dxfId="10" priority="8" operator="containsText" text="live">
      <formula>NOT(ISERROR(SEARCH("live",F1)))</formula>
    </cfRule>
    <cfRule type="containsText" dxfId="9" priority="9" operator="containsText" text="canceled">
      <formula>NOT(ISERROR(SEARCH("canceled",F1)))</formula>
    </cfRule>
    <cfRule type="containsText" dxfId="8" priority="10" operator="containsText" text="failed">
      <formula>NOT(ISERROR(SEARCH("failed",F1)))</formula>
    </cfRule>
    <cfRule type="containsText" dxfId="7" priority="11" operator="containsText" text="successful">
      <formula>NOT(ISERROR(SEARCH("successful",F1)))</formula>
    </cfRule>
    <cfRule type="containsText" dxfId="6" priority="12" operator="containsText" text="failed">
      <formula>NOT(ISERROR(SEARCH("failed",F1)))</formula>
    </cfRule>
  </conditionalFormatting>
  <conditionalFormatting sqref="O2:O4115">
    <cfRule type="cellIs" dxfId="5" priority="1" operator="lessThan">
      <formula>1</formula>
    </cfRule>
    <cfRule type="cellIs" dxfId="4" priority="3" operator="equal">
      <formula>2</formula>
    </cfRule>
    <cfRule type="cellIs" dxfId="3" priority="4" operator="equal">
      <formula>1</formula>
    </cfRule>
    <cfRule type="cellIs" dxfId="2" priority="5" operator="between">
      <formula>1</formula>
      <formula>2</formula>
    </cfRule>
    <cfRule type="cellIs" dxfId="1" priority="6" operator="greaterThan">
      <formula>2</formula>
    </cfRule>
    <cfRule type="cellIs" dxfId="0" priority="7" operator="lessThan">
      <formula>1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DA69-4A05-4FAE-BEC9-63C8C2B86BB4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8317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7775-F2EB-4C33-80EA-C462CC76DDE6}">
  <dimension ref="A1:F15"/>
  <sheetViews>
    <sheetView workbookViewId="0">
      <selection activeCell="A5" sqref="A5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8314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8324</v>
      </c>
      <c r="B6" s="11">
        <v>40</v>
      </c>
      <c r="C6" s="11"/>
      <c r="D6" s="11"/>
      <c r="E6" s="11"/>
      <c r="F6" s="11">
        <v>40</v>
      </c>
    </row>
    <row r="7" spans="1:6" x14ac:dyDescent="0.25">
      <c r="A7" s="10" t="s">
        <v>8325</v>
      </c>
      <c r="B7" s="11">
        <v>40</v>
      </c>
      <c r="C7" s="11"/>
      <c r="D7" s="11"/>
      <c r="E7" s="11"/>
      <c r="F7" s="11">
        <v>40</v>
      </c>
    </row>
    <row r="8" spans="1:6" x14ac:dyDescent="0.25">
      <c r="A8" s="10" t="s">
        <v>8326</v>
      </c>
      <c r="B8" s="11"/>
      <c r="C8" s="11">
        <v>40</v>
      </c>
      <c r="D8" s="11"/>
      <c r="E8" s="11">
        <v>20</v>
      </c>
      <c r="F8" s="11">
        <v>60</v>
      </c>
    </row>
    <row r="9" spans="1:6" x14ac:dyDescent="0.25">
      <c r="A9" s="10" t="s">
        <v>8327</v>
      </c>
      <c r="B9" s="11">
        <v>140</v>
      </c>
      <c r="C9" s="11">
        <v>20</v>
      </c>
      <c r="D9" s="11"/>
      <c r="E9" s="11"/>
      <c r="F9" s="11">
        <v>160</v>
      </c>
    </row>
    <row r="10" spans="1:6" x14ac:dyDescent="0.25">
      <c r="A10" s="10" t="s">
        <v>8328</v>
      </c>
      <c r="B10" s="11"/>
      <c r="C10" s="11">
        <v>60</v>
      </c>
      <c r="D10" s="11"/>
      <c r="E10" s="11"/>
      <c r="F10" s="11">
        <v>60</v>
      </c>
    </row>
    <row r="11" spans="1:6" x14ac:dyDescent="0.25">
      <c r="A11" s="10" t="s">
        <v>8329</v>
      </c>
      <c r="B11" s="11">
        <v>20</v>
      </c>
      <c r="C11" s="11"/>
      <c r="D11" s="11"/>
      <c r="E11" s="11"/>
      <c r="F11" s="11">
        <v>20</v>
      </c>
    </row>
    <row r="12" spans="1:6" x14ac:dyDescent="0.25">
      <c r="A12" s="10" t="s">
        <v>8330</v>
      </c>
      <c r="B12" s="11">
        <v>40</v>
      </c>
      <c r="C12" s="11"/>
      <c r="D12" s="11"/>
      <c r="E12" s="11"/>
      <c r="F12" s="11">
        <v>40</v>
      </c>
    </row>
    <row r="13" spans="1:6" x14ac:dyDescent="0.25">
      <c r="A13" s="10" t="s">
        <v>8331</v>
      </c>
      <c r="B13" s="11">
        <v>260</v>
      </c>
      <c r="C13" s="11"/>
      <c r="D13" s="11"/>
      <c r="E13" s="11"/>
      <c r="F13" s="11">
        <v>260</v>
      </c>
    </row>
    <row r="14" spans="1:6" x14ac:dyDescent="0.25">
      <c r="A14" s="10" t="s">
        <v>8332</v>
      </c>
      <c r="B14" s="11"/>
      <c r="C14" s="11"/>
      <c r="D14" s="11">
        <v>20</v>
      </c>
      <c r="E14" s="11"/>
      <c r="F14" s="11">
        <v>20</v>
      </c>
    </row>
    <row r="15" spans="1:6" x14ac:dyDescent="0.25">
      <c r="A15" s="10" t="s">
        <v>8320</v>
      </c>
      <c r="B15" s="11">
        <v>540</v>
      </c>
      <c r="C15" s="11">
        <v>120</v>
      </c>
      <c r="D15" s="11">
        <v>20</v>
      </c>
      <c r="E15" s="11">
        <v>20</v>
      </c>
      <c r="F15" s="11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2C99-48B9-4D99-9FAE-6747DB73CFA3}">
  <dimension ref="A1:E18"/>
  <sheetViews>
    <sheetView workbookViewId="0">
      <selection activeCell="T18" sqref="T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8323</v>
      </c>
    </row>
    <row r="2" spans="1:5" x14ac:dyDescent="0.25">
      <c r="A2" s="9" t="s">
        <v>8347</v>
      </c>
      <c r="B2" t="s">
        <v>8323</v>
      </c>
    </row>
    <row r="4" spans="1:5" x14ac:dyDescent="0.25">
      <c r="A4" s="9" t="s">
        <v>8321</v>
      </c>
      <c r="B4" s="9" t="s">
        <v>8322</v>
      </c>
    </row>
    <row r="5" spans="1:5" x14ac:dyDescent="0.25">
      <c r="A5" s="9" t="s">
        <v>8319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3" t="s">
        <v>8341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3" t="s">
        <v>8342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3" t="s">
        <v>8343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3" t="s">
        <v>8344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3" t="s">
        <v>8335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3" t="s">
        <v>8345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3" t="s">
        <v>8336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3" t="s">
        <v>8337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3" t="s">
        <v>8338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3" t="s">
        <v>8339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3" t="s">
        <v>8340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3" t="s">
        <v>8346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3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1FF1-64F4-48D5-9F4D-3A334406ED18}">
  <dimension ref="A1:I15"/>
  <sheetViews>
    <sheetView workbookViewId="0">
      <selection activeCell="A2" sqref="A2:A13"/>
    </sheetView>
  </sheetViews>
  <sheetFormatPr defaultRowHeight="15" x14ac:dyDescent="0.25"/>
  <cols>
    <col min="1" max="1" width="13.85546875" bestFit="1" customWidth="1"/>
    <col min="2" max="2" width="11.85546875" customWidth="1"/>
    <col min="3" max="3" width="9.5703125" customWidth="1"/>
    <col min="4" max="4" width="9.28515625" customWidth="1"/>
    <col min="6" max="6" width="12.140625" customWidth="1"/>
    <col min="7" max="7" width="11.28515625" customWidth="1"/>
    <col min="8" max="8" width="11.42578125" customWidth="1"/>
  </cols>
  <sheetData>
    <row r="1" spans="1:9" ht="36.75" customHeight="1" x14ac:dyDescent="0.25">
      <c r="A1" s="14" t="s">
        <v>8348</v>
      </c>
      <c r="B1" s="14" t="s">
        <v>8349</v>
      </c>
      <c r="C1" s="14" t="s">
        <v>8350</v>
      </c>
      <c r="D1" s="14" t="s">
        <v>8351</v>
      </c>
      <c r="E1" s="14" t="s">
        <v>8352</v>
      </c>
      <c r="F1" s="14" t="s">
        <v>8353</v>
      </c>
      <c r="G1" s="14" t="s">
        <v>8354</v>
      </c>
      <c r="H1" s="14" t="s">
        <v>8355</v>
      </c>
    </row>
    <row r="2" spans="1:9" x14ac:dyDescent="0.25">
      <c r="A2" t="s">
        <v>8356</v>
      </c>
      <c r="B2">
        <f>COUNTIFS(Initial!F2:F4115,"=successful",Initial!D2:D4115,"&lt;1000")</f>
        <v>322</v>
      </c>
      <c r="C2">
        <f>COUNTIFS(Initial!F2:F4115,"=failed",Initial!D2:D4115,"&lt;1000")</f>
        <v>113</v>
      </c>
      <c r="D2">
        <f>COUNTIFS(Initial!F2:F4115,"=canceled",Initial!D2:D4115,"&lt;1000")</f>
        <v>18</v>
      </c>
      <c r="E2">
        <f>SUM(B2:D2)</f>
        <v>453</v>
      </c>
      <c r="F2" s="7">
        <f>B2/$E2</f>
        <v>0.71081677704194257</v>
      </c>
      <c r="G2" s="7">
        <f t="shared" ref="G2:H2" si="0">C2/$E2</f>
        <v>0.24944812362030905</v>
      </c>
      <c r="H2" s="7">
        <f t="shared" si="0"/>
        <v>3.9735099337748346E-2</v>
      </c>
      <c r="I2" s="15"/>
    </row>
    <row r="3" spans="1:9" x14ac:dyDescent="0.25">
      <c r="A3" t="s">
        <v>8357</v>
      </c>
      <c r="B3">
        <f>COUNTIFS(Initial!F2:F4115,"=successful",Initial!D2:D4115,"&gt;=1000",Initial!D2:D4115,"&lt;=4999")</f>
        <v>932</v>
      </c>
      <c r="C3">
        <f>COUNTIFS(Initial!F2:F4115,"=failed",Initial!D2:D4115,"&gt;=1000",Initial!D2:D4115,"&lt;=4999")</f>
        <v>420</v>
      </c>
      <c r="D3">
        <f>COUNTIFS(Initial!F2:F4115,"=canceled",Initial!D2:D4115,"&gt;=1000",Initial!D2:D4115,"&lt;=4999")</f>
        <v>60</v>
      </c>
      <c r="E3">
        <f t="shared" ref="E3:E13" si="1">SUM(B3:D3)</f>
        <v>1412</v>
      </c>
      <c r="F3" s="7">
        <f t="shared" ref="F3:F13" si="2">B3/$E3</f>
        <v>0.66005665722379603</v>
      </c>
      <c r="G3" s="7">
        <f t="shared" ref="G3:G13" si="3">C3/$E3</f>
        <v>0.29745042492917845</v>
      </c>
      <c r="H3" s="7">
        <f t="shared" ref="H3:H13" si="4">D3/$E3</f>
        <v>4.2492917847025496E-2</v>
      </c>
      <c r="I3" s="15"/>
    </row>
    <row r="4" spans="1:9" x14ac:dyDescent="0.25">
      <c r="A4" t="s">
        <v>8358</v>
      </c>
      <c r="B4">
        <f>COUNTIFS(Initial!$F2:$F4115,"=successful",Initial!$D2:$D4115,"&gt;=5000",Initial!$D2:$D4115,"&lt;=9999")</f>
        <v>381</v>
      </c>
      <c r="C4">
        <f>COUNTIFS(Initial!$F2:$F4115,"=failed",Initial!$D2:$D4115,"&gt;=5000",Initial!$D2:$D4115,"&lt;=9999")</f>
        <v>283</v>
      </c>
      <c r="D4">
        <f>COUNTIFS(Initial!$F2:$F4115,"=canceled",Initial!$D2:$D4115,"&gt;=5000",Initial!$D2:$D4115,"&lt;=9999")</f>
        <v>52</v>
      </c>
      <c r="E4">
        <f t="shared" si="1"/>
        <v>716</v>
      </c>
      <c r="F4" s="7">
        <f t="shared" si="2"/>
        <v>0.53212290502793291</v>
      </c>
      <c r="G4" s="7">
        <f t="shared" si="3"/>
        <v>0.39525139664804471</v>
      </c>
      <c r="H4" s="7">
        <f t="shared" si="4"/>
        <v>7.2625698324022353E-2</v>
      </c>
      <c r="I4" s="15"/>
    </row>
    <row r="5" spans="1:9" x14ac:dyDescent="0.25">
      <c r="A5" t="s">
        <v>8359</v>
      </c>
      <c r="B5">
        <f>COUNTIFS(Initial!F2:F4115,"=successful",Initial!D2:D4115,"&gt;=10000",Initial!D2:D4115,"&lt;=14999")</f>
        <v>168</v>
      </c>
      <c r="C5">
        <f>COUNTIFS(Initial!F2:F4115,"=failed",Initial!D2:D4115,"&gt;=10000",Initial!D2:D4115,"&lt;=14999")</f>
        <v>144</v>
      </c>
      <c r="D5">
        <f>COUNTIFS(Initial!F2:F4115,"=canceled",Initial!D2:D4115,"&gt;=10000",Initial!D2:D4115,"&lt;=14999")</f>
        <v>40</v>
      </c>
      <c r="E5">
        <f t="shared" si="1"/>
        <v>352</v>
      </c>
      <c r="F5" s="7">
        <f t="shared" si="2"/>
        <v>0.47727272727272729</v>
      </c>
      <c r="G5" s="7">
        <f t="shared" si="3"/>
        <v>0.40909090909090912</v>
      </c>
      <c r="H5" s="7">
        <f t="shared" si="4"/>
        <v>0.11363636363636363</v>
      </c>
      <c r="I5" s="15"/>
    </row>
    <row r="6" spans="1:9" x14ac:dyDescent="0.25">
      <c r="A6" t="s">
        <v>8363</v>
      </c>
      <c r="B6">
        <f>COUNTIFS(Initial!F2:F4115,"=successful",Initial!D2:D4115,"&gt;=15000",Initial!D2:D4115,"&lt;=19999")</f>
        <v>94</v>
      </c>
      <c r="C6">
        <f>COUNTIFS(Initial!F2:F4115,"=failed",Initial!D2:D4115,"&gt;=15000",Initial!D2:D4115,"&lt;=19999")</f>
        <v>90</v>
      </c>
      <c r="D6">
        <f>COUNTIFS(Initial!F2:F4115,"=canceled",Initial!D2:D4115,"&gt;=15000",Initial!D2:D4115,"&lt;=19999")</f>
        <v>17</v>
      </c>
      <c r="E6">
        <f t="shared" si="1"/>
        <v>201</v>
      </c>
      <c r="F6" s="7">
        <f t="shared" si="2"/>
        <v>0.46766169154228854</v>
      </c>
      <c r="G6" s="7">
        <f t="shared" si="3"/>
        <v>0.44776119402985076</v>
      </c>
      <c r="H6" s="7">
        <f t="shared" si="4"/>
        <v>8.45771144278607E-2</v>
      </c>
      <c r="I6" s="15"/>
    </row>
    <row r="7" spans="1:9" x14ac:dyDescent="0.25">
      <c r="A7" t="s">
        <v>8360</v>
      </c>
      <c r="B7">
        <f>COUNTIFS(Initial!F2:F4115,"=successful",Initial!D2:D4115,"&gt;=20000",Initial!D2:D4115,"&lt;=24999")</f>
        <v>62</v>
      </c>
      <c r="C7">
        <f>COUNTIFS(Initial!F2:F4115,"=failed",Initial!D2:D4115,"&gt;=20000",Initial!D2:D4115,"&lt;=24999")</f>
        <v>72</v>
      </c>
      <c r="D7">
        <f>COUNTIFS(Initial!F2:F4115,"=canceled",Initial!D2:D4115,"&gt;=20000",Initial!D2:D4115,"&lt;=24999")</f>
        <v>14</v>
      </c>
      <c r="E7">
        <f t="shared" si="1"/>
        <v>148</v>
      </c>
      <c r="F7" s="7">
        <f t="shared" si="2"/>
        <v>0.41891891891891891</v>
      </c>
      <c r="G7" s="7">
        <f t="shared" si="3"/>
        <v>0.48648648648648651</v>
      </c>
      <c r="H7" s="7">
        <f t="shared" si="4"/>
        <v>9.45945945945946E-2</v>
      </c>
      <c r="I7" s="15"/>
    </row>
    <row r="8" spans="1:9" x14ac:dyDescent="0.25">
      <c r="A8" t="s">
        <v>8364</v>
      </c>
      <c r="B8">
        <f>COUNTIFS(Initial!F2:F4115,"=successful",Initial!D2:D4115,"&gt;=25000",Initial!D2:D4115,"&lt;=29999")</f>
        <v>55</v>
      </c>
      <c r="C8">
        <f>COUNTIFS(Initial!F2:F4115,"=failed",Initial!D2:D4115,"&gt;=25000",Initial!D2:D4115,"&lt;=29999")</f>
        <v>64</v>
      </c>
      <c r="D8">
        <f>COUNTIFS(Initial!F2:F4115,"=canceled",Initial!D2:D4115,"&gt;=25000",Initial!D2:D4115,"&lt;=29999")</f>
        <v>18</v>
      </c>
      <c r="E8">
        <f t="shared" si="1"/>
        <v>137</v>
      </c>
      <c r="F8" s="7">
        <f t="shared" si="2"/>
        <v>0.40145985401459855</v>
      </c>
      <c r="G8" s="7">
        <f t="shared" si="3"/>
        <v>0.46715328467153283</v>
      </c>
      <c r="H8" s="7">
        <f t="shared" si="4"/>
        <v>0.13138686131386862</v>
      </c>
      <c r="I8" s="15"/>
    </row>
    <row r="9" spans="1:9" x14ac:dyDescent="0.25">
      <c r="A9" t="s">
        <v>8361</v>
      </c>
      <c r="B9">
        <f>COUNTIFS(Initial!F2:F4115,"=successful",Initial!D2:D4115,"&gt;=30000",Initial!D2:D4115,"&lt;=34999")</f>
        <v>32</v>
      </c>
      <c r="C9">
        <f>COUNTIFS(Initial!F2:F4115,"=failed",Initial!D2:D4115,"&gt;=30000",Initial!D2:D4115,"&lt;=34999")</f>
        <v>37</v>
      </c>
      <c r="D9">
        <f>COUNTIFS(Initial!F2:F4115,"=canceled",Initial!D2:D4115,"&gt;=30000",Initial!D2:D4115,"&lt;=34999")</f>
        <v>13</v>
      </c>
      <c r="E9">
        <f t="shared" si="1"/>
        <v>82</v>
      </c>
      <c r="F9" s="7">
        <f t="shared" si="2"/>
        <v>0.3902439024390244</v>
      </c>
      <c r="G9" s="7">
        <f t="shared" si="3"/>
        <v>0.45121951219512196</v>
      </c>
      <c r="H9" s="7">
        <f t="shared" si="4"/>
        <v>0.15853658536585366</v>
      </c>
      <c r="I9" s="15"/>
    </row>
    <row r="10" spans="1:9" x14ac:dyDescent="0.25">
      <c r="A10" t="s">
        <v>8367</v>
      </c>
      <c r="B10">
        <f>COUNTIFS(Initial!F2:F4115,"=successful",Initial!D2:D4115,"&gt;=35000",Initial!D2:D4115,"&lt;=39999")</f>
        <v>26</v>
      </c>
      <c r="C10">
        <f>COUNTIFS(Initial!F2:F4115,"=failed",Initial!D2:D4115,"&gt;=35000",Initial!D2:D4115,"&lt;=39999")</f>
        <v>22</v>
      </c>
      <c r="D10">
        <f>COUNTIFS(Initial!F2:F4115,"=canceled",Initial!D2:D4115,"&gt;=35000",Initial!D2:D4115,"&lt;=39999")</f>
        <v>7</v>
      </c>
      <c r="E10">
        <f t="shared" si="1"/>
        <v>55</v>
      </c>
      <c r="F10" s="7">
        <f t="shared" si="2"/>
        <v>0.47272727272727272</v>
      </c>
      <c r="G10" s="7">
        <f t="shared" si="3"/>
        <v>0.4</v>
      </c>
      <c r="H10" s="7">
        <f t="shared" si="4"/>
        <v>0.12727272727272726</v>
      </c>
      <c r="I10" s="15"/>
    </row>
    <row r="11" spans="1:9" x14ac:dyDescent="0.25">
      <c r="A11" t="s">
        <v>8362</v>
      </c>
      <c r="B11">
        <f>COUNTIFS(Initial!F2:F4115,"=successful",Initial!D2:D4115,"&gt;=40000",Initial!D2:D4115,"&lt;=44999")</f>
        <v>21</v>
      </c>
      <c r="C11">
        <f>COUNTIFS(Initial!F2:F4115,"=failed",Initial!D2:D4115,"&gt;=40000",Initial!D2:D4115,"&lt;=44999")</f>
        <v>16</v>
      </c>
      <c r="D11">
        <f>COUNTIFS(Initial!F2:F4115,"=canceled",Initial!D2:D4115,"&gt;=40000",Initial!D2:D4115,"&lt;=44999")</f>
        <v>6</v>
      </c>
      <c r="E11">
        <f t="shared" si="1"/>
        <v>43</v>
      </c>
      <c r="F11" s="7">
        <f t="shared" si="2"/>
        <v>0.48837209302325579</v>
      </c>
      <c r="G11" s="7">
        <f t="shared" si="3"/>
        <v>0.37209302325581395</v>
      </c>
      <c r="H11" s="7">
        <f t="shared" si="4"/>
        <v>0.13953488372093023</v>
      </c>
      <c r="I11" s="15"/>
    </row>
    <row r="12" spans="1:9" x14ac:dyDescent="0.25">
      <c r="A12" t="s">
        <v>8365</v>
      </c>
      <c r="B12">
        <f>COUNTIFS(Initial!F2:F4115,"=successful",Initial!D2:D4115,"&gt;=45000",Initial!D2:D4115,"&lt;=49999")</f>
        <v>6</v>
      </c>
      <c r="C12">
        <f>COUNTIFS(Initial!F2:F4115,"=failed",Initial!D2:D4115,"&gt;=45000",Initial!D2:D4115,"&lt;=49999")</f>
        <v>11</v>
      </c>
      <c r="D12">
        <f>COUNTIFS(Initial!F2:F4115,"=canceled",Initial!D2:D4115,"&gt;=45000",Initial!D2:D4115,"&lt;=49999")</f>
        <v>4</v>
      </c>
      <c r="E12">
        <f t="shared" si="1"/>
        <v>21</v>
      </c>
      <c r="F12" s="7">
        <f t="shared" si="2"/>
        <v>0.2857142857142857</v>
      </c>
      <c r="G12" s="7">
        <f t="shared" si="3"/>
        <v>0.52380952380952384</v>
      </c>
      <c r="H12" s="7">
        <f t="shared" si="4"/>
        <v>0.19047619047619047</v>
      </c>
      <c r="I12" s="15"/>
    </row>
    <row r="13" spans="1:9" x14ac:dyDescent="0.25">
      <c r="A13" t="s">
        <v>8366</v>
      </c>
      <c r="B13">
        <f>COUNTIFS(Initial!F2:F4115,"=successful",Initial!D2:D4115,"&gt;=50000")</f>
        <v>86</v>
      </c>
      <c r="C13">
        <f>COUNTIFS(Initial!F2:F4115,"=failed",Initial!D2:D4115,"&gt;=50000")</f>
        <v>258</v>
      </c>
      <c r="D13">
        <f>COUNTIFS(Initial!F2:F4115,"=canceled",Initial!D2:D4115,"&gt;=50000")</f>
        <v>100</v>
      </c>
      <c r="E13">
        <f t="shared" si="1"/>
        <v>444</v>
      </c>
      <c r="F13" s="7">
        <f t="shared" si="2"/>
        <v>0.19369369369369369</v>
      </c>
      <c r="G13" s="7">
        <f t="shared" si="3"/>
        <v>0.58108108108108103</v>
      </c>
      <c r="H13" s="7">
        <f t="shared" si="4"/>
        <v>0.22522522522522523</v>
      </c>
      <c r="I13" s="15"/>
    </row>
    <row r="15" spans="1:9" x14ac:dyDescent="0.25">
      <c r="A15" t="s">
        <v>8368</v>
      </c>
      <c r="B15">
        <f>SUM(B2:B13)</f>
        <v>2185</v>
      </c>
      <c r="C15">
        <f t="shared" ref="C15:D15" si="5">SUM(C2:C13)</f>
        <v>1530</v>
      </c>
      <c r="D15">
        <f t="shared" si="5"/>
        <v>349</v>
      </c>
      <c r="E15">
        <f>SUM(B15:D15)</f>
        <v>4064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CB259-9C38-44C2-B4D2-0B4EA94100EF}">
  <dimension ref="A3:C9"/>
  <sheetViews>
    <sheetView workbookViewId="0">
      <selection activeCell="H11" sqref="H11"/>
    </sheetView>
  </sheetViews>
  <sheetFormatPr defaultRowHeight="15" x14ac:dyDescent="0.25"/>
  <cols>
    <col min="2" max="2" width="10.140625" bestFit="1" customWidth="1"/>
    <col min="3" max="3" width="12.42578125" bestFit="1" customWidth="1"/>
  </cols>
  <sheetData>
    <row r="3" spans="1:3" x14ac:dyDescent="0.25">
      <c r="B3" s="19" t="s">
        <v>8375</v>
      </c>
      <c r="C3" s="20" t="s">
        <v>8376</v>
      </c>
    </row>
    <row r="4" spans="1:3" x14ac:dyDescent="0.25">
      <c r="A4" t="s">
        <v>8369</v>
      </c>
      <c r="B4" s="16">
        <f>AVERAGEIF(Initial!$F$2:$F$4115,"=successful",Initial!$L$2:$L$4115)</f>
        <v>194.42517162471395</v>
      </c>
      <c r="C4" s="17">
        <f>AVERAGEIF(Initial!$F$2:$F$4115,"&lt;&gt;successful",Initial!$L$2:$L$4115)</f>
        <v>19.92068429237947</v>
      </c>
    </row>
    <row r="5" spans="1:3" x14ac:dyDescent="0.25">
      <c r="A5" t="s">
        <v>8370</v>
      </c>
      <c r="B5" s="16" cm="1">
        <f t="array" ref="B5">MEDIAN(IF(Initial!$F$2:$F$4115 = "successful",Initial!$L$2:$L$4115))</f>
        <v>62</v>
      </c>
      <c r="C5" s="17" cm="1">
        <f t="array" ref="C5">MEDIAN(IF(Initial!$F$2:$F$4115 &lt;&gt; "successful",Initial!$L$2:$L$4115))</f>
        <v>3</v>
      </c>
    </row>
    <row r="6" spans="1:3" x14ac:dyDescent="0.25">
      <c r="A6" t="s">
        <v>8371</v>
      </c>
      <c r="B6" s="16" cm="1">
        <f t="array" ref="B6">MIN(IF(Initial!$F$2:$F$4115 = "successful",Initial!$L$2:$L$4115))</f>
        <v>1</v>
      </c>
      <c r="C6" s="18" cm="1">
        <f t="array" ref="C6">MIN(IF(Initial!$F$2:$F$4115 &lt;&gt; "successful",Initial!$L$2:$L$4115))</f>
        <v>0</v>
      </c>
    </row>
    <row r="7" spans="1:3" x14ac:dyDescent="0.25">
      <c r="A7" t="s">
        <v>8372</v>
      </c>
      <c r="B7" s="16" cm="1">
        <f t="array" ref="B7">MAX(IF(Initial!$F$2:$F$4115 = "successful",Initial!$L$2:$L$4115))</f>
        <v>26457</v>
      </c>
      <c r="C7" s="17" cm="1">
        <f t="array" ref="C7">MAX(IF(Initial!$F$2:$F$4115 &lt;&gt; "successful",Initial!$L$2:$L$4115))</f>
        <v>1501</v>
      </c>
    </row>
    <row r="8" spans="1:3" x14ac:dyDescent="0.25">
      <c r="A8" t="s">
        <v>8373</v>
      </c>
      <c r="B8" s="16" cm="1">
        <f t="array" ref="B8">VAR(IF(Initial!$F$2:$F$4115 = "successful",Initial!$L$2:$L$4115))</f>
        <v>713167.37912800396</v>
      </c>
      <c r="C8" s="17" cm="1">
        <f t="array" ref="C8">VAR(IF(Initial!$F$2:$F$4115 &lt;&gt; "successful",Initial!$L$2:$L$4115))</f>
        <v>5515.0170460045301</v>
      </c>
    </row>
    <row r="9" spans="1:3" x14ac:dyDescent="0.25">
      <c r="A9" t="s">
        <v>8374</v>
      </c>
      <c r="B9" s="16" cm="1">
        <f t="array" ref="B9">_xlfn.STDEV.P(IF(Initial!$F$2:$F$4115 = "successful",Initial!$L$2:$L$4115))</f>
        <v>844.29910975602149</v>
      </c>
      <c r="C9" s="17" cm="1">
        <f t="array" ref="C9">_xlfn.STDEV.P(IF(Initial!$F$2:$F$4115 &lt;&gt; "successful",Initial!$L$2:$L$4115))</f>
        <v>74.243909129774821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</vt:lpstr>
      <vt:lpstr>Category Stats</vt:lpstr>
      <vt:lpstr>Sub-Category Stats</vt:lpstr>
      <vt:lpstr>Date Stats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Geiser</cp:lastModifiedBy>
  <dcterms:created xsi:type="dcterms:W3CDTF">2017-04-20T15:17:24Z</dcterms:created>
  <dcterms:modified xsi:type="dcterms:W3CDTF">2020-06-19T16:31:29Z</dcterms:modified>
</cp:coreProperties>
</file>