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DC8E381B-C620-4EEF-8C6F-648CBD57B34D}" xr6:coauthVersionLast="45" xr6:coauthVersionMax="45" xr10:uidLastSave="{00000000-0000-0000-0000-000000000000}"/>
  <bookViews>
    <workbookView xWindow="-120" yWindow="-120" windowWidth="29040" windowHeight="17640" tabRatio="875" firstSheet="1" activeTab="7" xr2:uid="{00000000-000D-0000-FFFF-FFFF00000000}"/>
  </bookViews>
  <sheets>
    <sheet name="整体大纲" sheetId="11" r:id="rId1"/>
    <sheet name="军衔名称" sheetId="5" r:id="rId2"/>
    <sheet name="时间预估" sheetId="2" r:id="rId3"/>
    <sheet name="新Rank经验值投放" sheetId="9" r:id="rId4"/>
    <sheet name="坦克升星成长线规划" sheetId="12" r:id="rId5"/>
    <sheet name="部件升星成长规划" sheetId="17" r:id="rId6"/>
    <sheet name="坦克+部件投放途径划分" sheetId="13" r:id="rId7"/>
    <sheet name="宝箱规划" sheetId="6" r:id="rId8"/>
    <sheet name="坦克属性规划" sheetId="4" r:id="rId9"/>
    <sheet name="各种道具投放规划" sheetId="1" r:id="rId10"/>
    <sheet name="挂机玩法规划" sheetId="16" r:id="rId11"/>
    <sheet name="挂机玩法填表" sheetId="7" r:id="rId12"/>
    <sheet name="坦克升星消耗" sheetId="14" r:id="rId13"/>
    <sheet name="部件升星消耗" sheetId="15" r:id="rId14"/>
    <sheet name="物品id" sheetId="8" r:id="rId15"/>
    <sheet name="备份" sheetId="10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6" l="1"/>
  <c r="P20" i="6"/>
  <c r="C5" i="13"/>
  <c r="AF11" i="1" l="1"/>
  <c r="AF12" i="1" s="1"/>
  <c r="AF13" i="1" s="1"/>
  <c r="AF14" i="1" s="1"/>
  <c r="AF15" i="1" s="1"/>
  <c r="AF16" i="1" s="1"/>
  <c r="AD11" i="1"/>
  <c r="AD12" i="1" s="1"/>
  <c r="AD13" i="1" s="1"/>
  <c r="AD14" i="1" s="1"/>
  <c r="AD15" i="1" s="1"/>
  <c r="AD16" i="1" s="1"/>
  <c r="AB12" i="1"/>
  <c r="AB13" i="1" s="1"/>
  <c r="AB14" i="1" s="1"/>
  <c r="AB15" i="1" s="1"/>
  <c r="AB16" i="1" s="1"/>
  <c r="AB11" i="1"/>
  <c r="Q26" i="1" l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AF17" i="1"/>
  <c r="AD17" i="1"/>
  <c r="AB17" i="1"/>
  <c r="AC11" i="1"/>
  <c r="AE11" i="1"/>
  <c r="AC12" i="1"/>
  <c r="AE12" i="1"/>
  <c r="AC13" i="1"/>
  <c r="AE13" i="1"/>
  <c r="AC14" i="1"/>
  <c r="AE14" i="1"/>
  <c r="AC15" i="1"/>
  <c r="AE15" i="1"/>
  <c r="AC16" i="1"/>
  <c r="AE16" i="1"/>
  <c r="AA12" i="1"/>
  <c r="AA13" i="1"/>
  <c r="AA14" i="1"/>
  <c r="AA15" i="1"/>
  <c r="AA16" i="1"/>
  <c r="AA11" i="1"/>
  <c r="Y11" i="1"/>
  <c r="Y12" i="1" s="1"/>
  <c r="Y13" i="1" s="1"/>
  <c r="Y14" i="1" s="1"/>
  <c r="Y15" i="1" s="1"/>
  <c r="Y16" i="1" s="1"/>
  <c r="Y17" i="1" s="1"/>
  <c r="W11" i="1"/>
  <c r="W12" i="1" s="1"/>
  <c r="W13" i="1" s="1"/>
  <c r="W14" i="1" s="1"/>
  <c r="W15" i="1" s="1"/>
  <c r="W16" i="1" s="1"/>
  <c r="W17" i="1" s="1"/>
  <c r="U11" i="1"/>
  <c r="U12" i="1" s="1"/>
  <c r="U13" i="1" s="1"/>
  <c r="U14" i="1" s="1"/>
  <c r="U15" i="1" s="1"/>
  <c r="U16" i="1" s="1"/>
  <c r="U17" i="1" s="1"/>
  <c r="V11" i="1"/>
  <c r="X11" i="1"/>
  <c r="V12" i="1"/>
  <c r="X12" i="1"/>
  <c r="V13" i="1"/>
  <c r="X13" i="1"/>
  <c r="V14" i="1"/>
  <c r="X14" i="1"/>
  <c r="V15" i="1"/>
  <c r="X15" i="1"/>
  <c r="V16" i="1"/>
  <c r="X16" i="1"/>
  <c r="T12" i="1"/>
  <c r="T13" i="1"/>
  <c r="T14" i="1"/>
  <c r="T15" i="1"/>
  <c r="T16" i="1"/>
  <c r="T11" i="1"/>
  <c r="R17" i="1"/>
  <c r="R12" i="1"/>
  <c r="R13" i="1" s="1"/>
  <c r="R14" i="1" s="1"/>
  <c r="R15" i="1" s="1"/>
  <c r="R16" i="1" s="1"/>
  <c r="R11" i="1"/>
  <c r="Q12" i="1"/>
  <c r="Q13" i="1"/>
  <c r="Q14" i="1"/>
  <c r="Q15" i="1"/>
  <c r="Q16" i="1"/>
  <c r="Q11" i="1"/>
  <c r="AQ3" i="7" l="1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" i="7"/>
  <c r="AI3" i="7" l="1"/>
  <c r="AJ3" i="7"/>
  <c r="AK3" i="7"/>
  <c r="AI4" i="7"/>
  <c r="AJ4" i="7"/>
  <c r="AK4" i="7"/>
  <c r="AI5" i="7"/>
  <c r="AJ5" i="7"/>
  <c r="AK5" i="7"/>
  <c r="AI6" i="7"/>
  <c r="AJ6" i="7"/>
  <c r="AK6" i="7"/>
  <c r="AI7" i="7"/>
  <c r="AJ7" i="7"/>
  <c r="AK7" i="7"/>
  <c r="AI8" i="7"/>
  <c r="AJ8" i="7"/>
  <c r="AK8" i="7"/>
  <c r="AI9" i="7"/>
  <c r="AJ9" i="7"/>
  <c r="AK9" i="7"/>
  <c r="AI10" i="7"/>
  <c r="AJ10" i="7"/>
  <c r="AK10" i="7"/>
  <c r="AI11" i="7"/>
  <c r="AJ11" i="7"/>
  <c r="AK11" i="7"/>
  <c r="AI12" i="7"/>
  <c r="AJ12" i="7"/>
  <c r="AK12" i="7"/>
  <c r="AI13" i="7"/>
  <c r="AJ13" i="7"/>
  <c r="AK13" i="7"/>
  <c r="AI14" i="7"/>
  <c r="AJ14" i="7"/>
  <c r="AK14" i="7"/>
  <c r="AI15" i="7"/>
  <c r="AJ15" i="7"/>
  <c r="AK15" i="7"/>
  <c r="AI16" i="7"/>
  <c r="AJ16" i="7"/>
  <c r="AK16" i="7"/>
  <c r="AI17" i="7"/>
  <c r="AJ17" i="7"/>
  <c r="AK17" i="7"/>
  <c r="AI18" i="7"/>
  <c r="AJ18" i="7"/>
  <c r="AK18" i="7"/>
  <c r="AI19" i="7"/>
  <c r="AJ19" i="7"/>
  <c r="AK19" i="7"/>
  <c r="AI20" i="7"/>
  <c r="AJ20" i="7"/>
  <c r="AK20" i="7"/>
  <c r="AI21" i="7"/>
  <c r="AJ21" i="7"/>
  <c r="AK21" i="7"/>
  <c r="AI22" i="7"/>
  <c r="AJ22" i="7"/>
  <c r="AK22" i="7"/>
  <c r="AI23" i="7"/>
  <c r="AJ23" i="7"/>
  <c r="AK23" i="7"/>
  <c r="AI24" i="7"/>
  <c r="AJ24" i="7"/>
  <c r="AK24" i="7"/>
  <c r="AI25" i="7"/>
  <c r="AJ25" i="7"/>
  <c r="AK25" i="7"/>
  <c r="AI26" i="7"/>
  <c r="AJ26" i="7"/>
  <c r="AK26" i="7"/>
  <c r="AI27" i="7"/>
  <c r="AJ27" i="7"/>
  <c r="AK27" i="7"/>
  <c r="AI28" i="7"/>
  <c r="AJ28" i="7"/>
  <c r="AK28" i="7"/>
  <c r="AI29" i="7"/>
  <c r="AJ29" i="7"/>
  <c r="AK29" i="7"/>
  <c r="AI30" i="7"/>
  <c r="AJ30" i="7"/>
  <c r="AK30" i="7"/>
  <c r="AI31" i="7"/>
  <c r="AJ31" i="7"/>
  <c r="AK31" i="7"/>
  <c r="AI32" i="7"/>
  <c r="AJ32" i="7"/>
  <c r="AK32" i="7"/>
  <c r="AI33" i="7"/>
  <c r="AJ33" i="7"/>
  <c r="AK33" i="7"/>
  <c r="AI34" i="7"/>
  <c r="AJ34" i="7"/>
  <c r="AK34" i="7"/>
  <c r="AI35" i="7"/>
  <c r="AJ35" i="7"/>
  <c r="AK35" i="7"/>
  <c r="AI36" i="7"/>
  <c r="AJ36" i="7"/>
  <c r="AK36" i="7"/>
  <c r="AI37" i="7"/>
  <c r="AJ37" i="7"/>
  <c r="AK37" i="7"/>
  <c r="AI38" i="7"/>
  <c r="AJ38" i="7"/>
  <c r="AK38" i="7"/>
  <c r="AI39" i="7"/>
  <c r="AJ39" i="7"/>
  <c r="AK39" i="7"/>
  <c r="AI40" i="7"/>
  <c r="AJ40" i="7"/>
  <c r="AK40" i="7"/>
  <c r="AI41" i="7"/>
  <c r="AJ41" i="7"/>
  <c r="AK41" i="7"/>
  <c r="AI42" i="7"/>
  <c r="AJ42" i="7"/>
  <c r="AK42" i="7"/>
  <c r="AI43" i="7"/>
  <c r="AJ43" i="7"/>
  <c r="AK43" i="7"/>
  <c r="AI44" i="7"/>
  <c r="AJ44" i="7"/>
  <c r="AK44" i="7"/>
  <c r="AI45" i="7"/>
  <c r="AJ45" i="7"/>
  <c r="AK45" i="7"/>
  <c r="AI46" i="7"/>
  <c r="AJ46" i="7"/>
  <c r="AK46" i="7"/>
  <c r="AI47" i="7"/>
  <c r="AJ47" i="7"/>
  <c r="AK47" i="7"/>
  <c r="AI48" i="7"/>
  <c r="AJ48" i="7"/>
  <c r="AK48" i="7"/>
  <c r="AI49" i="7"/>
  <c r="AJ49" i="7"/>
  <c r="AK49" i="7"/>
  <c r="AI50" i="7"/>
  <c r="AJ50" i="7"/>
  <c r="AK50" i="7"/>
  <c r="AI51" i="7"/>
  <c r="AJ51" i="7"/>
  <c r="AK51" i="7"/>
  <c r="AI52" i="7"/>
  <c r="AJ52" i="7"/>
  <c r="AK52" i="7"/>
  <c r="AI53" i="7"/>
  <c r="AJ53" i="7"/>
  <c r="AK53" i="7"/>
  <c r="AI54" i="7"/>
  <c r="AJ54" i="7"/>
  <c r="AK54" i="7"/>
  <c r="AI55" i="7"/>
  <c r="AJ55" i="7"/>
  <c r="AK55" i="7"/>
  <c r="AI56" i="7"/>
  <c r="AJ56" i="7"/>
  <c r="AK56" i="7"/>
  <c r="AI57" i="7"/>
  <c r="AJ57" i="7"/>
  <c r="AK57" i="7"/>
  <c r="AI58" i="7"/>
  <c r="AJ58" i="7"/>
  <c r="AK58" i="7"/>
  <c r="AI59" i="7"/>
  <c r="AJ59" i="7"/>
  <c r="AK59" i="7"/>
  <c r="AI60" i="7"/>
  <c r="AJ60" i="7"/>
  <c r="AK60" i="7"/>
  <c r="AI61" i="7"/>
  <c r="AJ61" i="7"/>
  <c r="AK61" i="7"/>
  <c r="AI62" i="7"/>
  <c r="AJ62" i="7"/>
  <c r="AK62" i="7"/>
  <c r="AI63" i="7"/>
  <c r="AJ63" i="7"/>
  <c r="AK63" i="7"/>
  <c r="AI64" i="7"/>
  <c r="AJ64" i="7"/>
  <c r="AK64" i="7"/>
  <c r="AI65" i="7"/>
  <c r="AJ65" i="7"/>
  <c r="AK65" i="7"/>
  <c r="AI66" i="7"/>
  <c r="AJ66" i="7"/>
  <c r="AK66" i="7"/>
  <c r="AI67" i="7"/>
  <c r="AJ67" i="7"/>
  <c r="AK67" i="7"/>
  <c r="AI68" i="7"/>
  <c r="AJ68" i="7"/>
  <c r="AK68" i="7"/>
  <c r="AI69" i="7"/>
  <c r="AJ69" i="7"/>
  <c r="AK69" i="7"/>
  <c r="AI70" i="7"/>
  <c r="AJ70" i="7"/>
  <c r="AK70" i="7"/>
  <c r="AI71" i="7"/>
  <c r="AJ71" i="7"/>
  <c r="AK71" i="7"/>
  <c r="AI72" i="7"/>
  <c r="AJ72" i="7"/>
  <c r="AK72" i="7"/>
  <c r="AI73" i="7"/>
  <c r="AJ73" i="7"/>
  <c r="AK73" i="7"/>
  <c r="AI74" i="7"/>
  <c r="AJ74" i="7"/>
  <c r="AK74" i="7"/>
  <c r="AI75" i="7"/>
  <c r="AJ75" i="7"/>
  <c r="AK75" i="7"/>
  <c r="AI76" i="7"/>
  <c r="AJ76" i="7"/>
  <c r="AK76" i="7"/>
  <c r="AI77" i="7"/>
  <c r="AJ77" i="7"/>
  <c r="AK77" i="7"/>
  <c r="AI78" i="7"/>
  <c r="AJ78" i="7"/>
  <c r="AK78" i="7"/>
  <c r="AI79" i="7"/>
  <c r="AJ79" i="7"/>
  <c r="AK79" i="7"/>
  <c r="AI80" i="7"/>
  <c r="AJ80" i="7"/>
  <c r="AK80" i="7"/>
  <c r="AI81" i="7"/>
  <c r="AJ81" i="7"/>
  <c r="AK81" i="7"/>
  <c r="AI82" i="7"/>
  <c r="AJ82" i="7"/>
  <c r="AK82" i="7"/>
  <c r="AI83" i="7"/>
  <c r="AJ83" i="7"/>
  <c r="AK83" i="7"/>
  <c r="AI84" i="7"/>
  <c r="AJ84" i="7"/>
  <c r="AK84" i="7"/>
  <c r="AI85" i="7"/>
  <c r="AJ85" i="7"/>
  <c r="AK85" i="7"/>
  <c r="AI86" i="7"/>
  <c r="AJ86" i="7"/>
  <c r="AK86" i="7"/>
  <c r="AI87" i="7"/>
  <c r="AJ87" i="7"/>
  <c r="AK87" i="7"/>
  <c r="AI88" i="7"/>
  <c r="AJ88" i="7"/>
  <c r="AK88" i="7"/>
  <c r="AI89" i="7"/>
  <c r="AJ89" i="7"/>
  <c r="AK89" i="7"/>
  <c r="AI90" i="7"/>
  <c r="AJ90" i="7"/>
  <c r="AK90" i="7"/>
  <c r="AI91" i="7"/>
  <c r="AJ91" i="7"/>
  <c r="AK91" i="7"/>
  <c r="AI92" i="7"/>
  <c r="AJ92" i="7"/>
  <c r="AK92" i="7"/>
  <c r="AI93" i="7"/>
  <c r="AJ93" i="7"/>
  <c r="AK93" i="7"/>
  <c r="AI94" i="7"/>
  <c r="AJ94" i="7"/>
  <c r="AK94" i="7"/>
  <c r="AI95" i="7"/>
  <c r="AJ95" i="7"/>
  <c r="AK95" i="7"/>
  <c r="AI96" i="7"/>
  <c r="AJ96" i="7"/>
  <c r="AK96" i="7"/>
  <c r="AI97" i="7"/>
  <c r="AJ97" i="7"/>
  <c r="AK97" i="7"/>
  <c r="AI98" i="7"/>
  <c r="AJ98" i="7"/>
  <c r="AK98" i="7"/>
  <c r="AI99" i="7"/>
  <c r="AJ99" i="7"/>
  <c r="AK99" i="7"/>
  <c r="AI100" i="7"/>
  <c r="AJ100" i="7"/>
  <c r="AK100" i="7"/>
  <c r="AI101" i="7"/>
  <c r="AJ101" i="7"/>
  <c r="AK101" i="7"/>
  <c r="AI102" i="7"/>
  <c r="AJ102" i="7"/>
  <c r="AK102" i="7"/>
  <c r="AI103" i="7"/>
  <c r="AJ103" i="7"/>
  <c r="AK103" i="7"/>
  <c r="AI104" i="7"/>
  <c r="AJ104" i="7"/>
  <c r="AK104" i="7"/>
  <c r="AI105" i="7"/>
  <c r="AJ105" i="7"/>
  <c r="AK105" i="7"/>
  <c r="AI106" i="7"/>
  <c r="AJ106" i="7"/>
  <c r="AK106" i="7"/>
  <c r="AI107" i="7"/>
  <c r="AJ107" i="7"/>
  <c r="AK107" i="7"/>
  <c r="AI108" i="7"/>
  <c r="AJ108" i="7"/>
  <c r="AK108" i="7"/>
  <c r="AI109" i="7"/>
  <c r="AJ109" i="7"/>
  <c r="AK109" i="7"/>
  <c r="AI110" i="7"/>
  <c r="AJ110" i="7"/>
  <c r="AK110" i="7"/>
  <c r="AI111" i="7"/>
  <c r="AJ111" i="7"/>
  <c r="AK111" i="7"/>
  <c r="AI112" i="7"/>
  <c r="AJ112" i="7"/>
  <c r="AK112" i="7"/>
  <c r="AI113" i="7"/>
  <c r="AJ113" i="7"/>
  <c r="AK113" i="7"/>
  <c r="AI114" i="7"/>
  <c r="AJ114" i="7"/>
  <c r="AK114" i="7"/>
  <c r="AI115" i="7"/>
  <c r="AJ115" i="7"/>
  <c r="AK115" i="7"/>
  <c r="AI116" i="7"/>
  <c r="AJ116" i="7"/>
  <c r="AK116" i="7"/>
  <c r="AI117" i="7"/>
  <c r="AJ117" i="7"/>
  <c r="AK117" i="7"/>
  <c r="AI118" i="7"/>
  <c r="AJ118" i="7"/>
  <c r="AK118" i="7"/>
  <c r="AI119" i="7"/>
  <c r="AJ119" i="7"/>
  <c r="AK119" i="7"/>
  <c r="AI120" i="7"/>
  <c r="AJ120" i="7"/>
  <c r="AK120" i="7"/>
  <c r="AI121" i="7"/>
  <c r="AJ121" i="7"/>
  <c r="AK121" i="7"/>
  <c r="AI122" i="7"/>
  <c r="AJ122" i="7"/>
  <c r="AK122" i="7"/>
  <c r="AI123" i="7"/>
  <c r="AJ123" i="7"/>
  <c r="AK123" i="7"/>
  <c r="AI124" i="7"/>
  <c r="AJ124" i="7"/>
  <c r="AK124" i="7"/>
  <c r="AI125" i="7"/>
  <c r="AJ125" i="7"/>
  <c r="AK125" i="7"/>
  <c r="AI126" i="7"/>
  <c r="AJ126" i="7"/>
  <c r="AK126" i="7"/>
  <c r="AI127" i="7"/>
  <c r="AJ127" i="7"/>
  <c r="AK127" i="7"/>
  <c r="AI128" i="7"/>
  <c r="AJ128" i="7"/>
  <c r="AK128" i="7"/>
  <c r="AI129" i="7"/>
  <c r="AJ129" i="7"/>
  <c r="AK129" i="7"/>
  <c r="AI130" i="7"/>
  <c r="AJ130" i="7"/>
  <c r="AK130" i="7"/>
  <c r="AI131" i="7"/>
  <c r="AJ131" i="7"/>
  <c r="AK131" i="7"/>
  <c r="AI132" i="7"/>
  <c r="AJ132" i="7"/>
  <c r="AK132" i="7"/>
  <c r="AI133" i="7"/>
  <c r="AJ133" i="7"/>
  <c r="AK133" i="7"/>
  <c r="AI134" i="7"/>
  <c r="AJ134" i="7"/>
  <c r="AK134" i="7"/>
  <c r="AI135" i="7"/>
  <c r="AJ135" i="7"/>
  <c r="AK135" i="7"/>
  <c r="AI136" i="7"/>
  <c r="AJ136" i="7"/>
  <c r="AK136" i="7"/>
  <c r="AI137" i="7"/>
  <c r="AJ137" i="7"/>
  <c r="AK137" i="7"/>
  <c r="AI138" i="7"/>
  <c r="AJ138" i="7"/>
  <c r="AK138" i="7"/>
  <c r="AI139" i="7"/>
  <c r="AJ139" i="7"/>
  <c r="AK139" i="7"/>
  <c r="AI140" i="7"/>
  <c r="AJ140" i="7"/>
  <c r="AK140" i="7"/>
  <c r="AI141" i="7"/>
  <c r="AJ141" i="7"/>
  <c r="AK141" i="7"/>
  <c r="AI142" i="7"/>
  <c r="AJ142" i="7"/>
  <c r="AK142" i="7"/>
  <c r="AI143" i="7"/>
  <c r="AJ143" i="7"/>
  <c r="AK143" i="7"/>
  <c r="AI144" i="7"/>
  <c r="AJ144" i="7"/>
  <c r="AK144" i="7"/>
  <c r="AI145" i="7"/>
  <c r="AJ145" i="7"/>
  <c r="AK145" i="7"/>
  <c r="AI146" i="7"/>
  <c r="AJ146" i="7"/>
  <c r="AK146" i="7"/>
  <c r="AI147" i="7"/>
  <c r="AJ147" i="7"/>
  <c r="AK147" i="7"/>
  <c r="AI148" i="7"/>
  <c r="AJ148" i="7"/>
  <c r="AK148" i="7"/>
  <c r="AI149" i="7"/>
  <c r="AJ149" i="7"/>
  <c r="AK149" i="7"/>
  <c r="AI150" i="7"/>
  <c r="AJ150" i="7"/>
  <c r="AK150" i="7"/>
  <c r="AI151" i="7"/>
  <c r="AJ151" i="7"/>
  <c r="AK151" i="7"/>
  <c r="AI152" i="7"/>
  <c r="AJ152" i="7"/>
  <c r="AK152" i="7"/>
  <c r="AI153" i="7"/>
  <c r="AJ153" i="7"/>
  <c r="AK153" i="7"/>
  <c r="AI154" i="7"/>
  <c r="AJ154" i="7"/>
  <c r="AK154" i="7"/>
  <c r="AI155" i="7"/>
  <c r="AJ155" i="7"/>
  <c r="AK155" i="7"/>
  <c r="AI156" i="7"/>
  <c r="AJ156" i="7"/>
  <c r="AK156" i="7"/>
  <c r="AI157" i="7"/>
  <c r="AJ157" i="7"/>
  <c r="AK157" i="7"/>
  <c r="AI158" i="7"/>
  <c r="AJ158" i="7"/>
  <c r="AK158" i="7"/>
  <c r="AI159" i="7"/>
  <c r="AJ159" i="7"/>
  <c r="AK159" i="7"/>
  <c r="AI160" i="7"/>
  <c r="AJ160" i="7"/>
  <c r="AK160" i="7"/>
  <c r="AI161" i="7"/>
  <c r="AJ161" i="7"/>
  <c r="AK161" i="7"/>
  <c r="AI162" i="7"/>
  <c r="AJ162" i="7"/>
  <c r="AK162" i="7"/>
  <c r="AI163" i="7"/>
  <c r="AJ163" i="7"/>
  <c r="AK163" i="7"/>
  <c r="AI164" i="7"/>
  <c r="AJ164" i="7"/>
  <c r="AK164" i="7"/>
  <c r="AI165" i="7"/>
  <c r="AJ165" i="7"/>
  <c r="AK165" i="7"/>
  <c r="AI166" i="7"/>
  <c r="AJ166" i="7"/>
  <c r="AK166" i="7"/>
  <c r="AI167" i="7"/>
  <c r="AJ167" i="7"/>
  <c r="AK167" i="7"/>
  <c r="AI168" i="7"/>
  <c r="AJ168" i="7"/>
  <c r="AK168" i="7"/>
  <c r="AI169" i="7"/>
  <c r="AJ169" i="7"/>
  <c r="AK169" i="7"/>
  <c r="AI170" i="7"/>
  <c r="AJ170" i="7"/>
  <c r="AK170" i="7"/>
  <c r="AI171" i="7"/>
  <c r="AJ171" i="7"/>
  <c r="AK171" i="7"/>
  <c r="AI172" i="7"/>
  <c r="AJ172" i="7"/>
  <c r="AK172" i="7"/>
  <c r="AI173" i="7"/>
  <c r="AJ173" i="7"/>
  <c r="AK173" i="7"/>
  <c r="AI174" i="7"/>
  <c r="AJ174" i="7"/>
  <c r="AK174" i="7"/>
  <c r="AI175" i="7"/>
  <c r="AJ175" i="7"/>
  <c r="AK175" i="7"/>
  <c r="AI176" i="7"/>
  <c r="AJ176" i="7"/>
  <c r="AK176" i="7"/>
  <c r="AI177" i="7"/>
  <c r="AJ177" i="7"/>
  <c r="AK177" i="7"/>
  <c r="AI178" i="7"/>
  <c r="AJ178" i="7"/>
  <c r="AK178" i="7"/>
  <c r="AI179" i="7"/>
  <c r="AJ179" i="7"/>
  <c r="AK179" i="7"/>
  <c r="AI180" i="7"/>
  <c r="AJ180" i="7"/>
  <c r="AK180" i="7"/>
  <c r="AI181" i="7"/>
  <c r="AJ181" i="7"/>
  <c r="AK181" i="7"/>
  <c r="AI182" i="7"/>
  <c r="AJ182" i="7"/>
  <c r="AK182" i="7"/>
  <c r="AI183" i="7"/>
  <c r="AJ183" i="7"/>
  <c r="AK183" i="7"/>
  <c r="AI184" i="7"/>
  <c r="AJ184" i="7"/>
  <c r="AK184" i="7"/>
  <c r="AI185" i="7"/>
  <c r="AJ185" i="7"/>
  <c r="AK185" i="7"/>
  <c r="AI186" i="7"/>
  <c r="AJ186" i="7"/>
  <c r="AK186" i="7"/>
  <c r="AI187" i="7"/>
  <c r="AJ187" i="7"/>
  <c r="AK187" i="7"/>
  <c r="AI188" i="7"/>
  <c r="AJ188" i="7"/>
  <c r="AK188" i="7"/>
  <c r="AI189" i="7"/>
  <c r="AJ189" i="7"/>
  <c r="AK189" i="7"/>
  <c r="AI190" i="7"/>
  <c r="AJ190" i="7"/>
  <c r="AK190" i="7"/>
  <c r="AI191" i="7"/>
  <c r="AJ191" i="7"/>
  <c r="AK191" i="7"/>
  <c r="AI192" i="7"/>
  <c r="AJ192" i="7"/>
  <c r="AK192" i="7"/>
  <c r="AI193" i="7"/>
  <c r="AJ193" i="7"/>
  <c r="AK193" i="7"/>
  <c r="AI194" i="7"/>
  <c r="AJ194" i="7"/>
  <c r="AK194" i="7"/>
  <c r="AI195" i="7"/>
  <c r="AJ195" i="7"/>
  <c r="AK195" i="7"/>
  <c r="AI196" i="7"/>
  <c r="AJ196" i="7"/>
  <c r="AK196" i="7"/>
  <c r="AI197" i="7"/>
  <c r="AJ197" i="7"/>
  <c r="AK197" i="7"/>
  <c r="AI198" i="7"/>
  <c r="AJ198" i="7"/>
  <c r="AK198" i="7"/>
  <c r="AI199" i="7"/>
  <c r="AJ199" i="7"/>
  <c r="AK199" i="7"/>
  <c r="AI200" i="7"/>
  <c r="AJ200" i="7"/>
  <c r="AK200" i="7"/>
  <c r="AI201" i="7"/>
  <c r="AJ201" i="7"/>
  <c r="AK201" i="7"/>
  <c r="AI202" i="7"/>
  <c r="AJ202" i="7"/>
  <c r="AK202" i="7"/>
  <c r="AI203" i="7"/>
  <c r="AJ203" i="7"/>
  <c r="AK203" i="7"/>
  <c r="AI204" i="7"/>
  <c r="AJ204" i="7"/>
  <c r="AK204" i="7"/>
  <c r="AI205" i="7"/>
  <c r="AJ205" i="7"/>
  <c r="AK205" i="7"/>
  <c r="AI206" i="7"/>
  <c r="AJ206" i="7"/>
  <c r="AK206" i="7"/>
  <c r="AI207" i="7"/>
  <c r="AJ207" i="7"/>
  <c r="AK207" i="7"/>
  <c r="AI208" i="7"/>
  <c r="AJ208" i="7"/>
  <c r="AK208" i="7"/>
  <c r="AI209" i="7"/>
  <c r="AJ209" i="7"/>
  <c r="AK209" i="7"/>
  <c r="AI210" i="7"/>
  <c r="AJ210" i="7"/>
  <c r="AK210" i="7"/>
  <c r="AI211" i="7"/>
  <c r="AJ211" i="7"/>
  <c r="AK211" i="7"/>
  <c r="AI212" i="7"/>
  <c r="AJ212" i="7"/>
  <c r="AK212" i="7"/>
  <c r="AI213" i="7"/>
  <c r="AJ213" i="7"/>
  <c r="AK213" i="7"/>
  <c r="AI214" i="7"/>
  <c r="AJ214" i="7"/>
  <c r="AK214" i="7"/>
  <c r="AI215" i="7"/>
  <c r="AJ215" i="7"/>
  <c r="AK215" i="7"/>
  <c r="AI216" i="7"/>
  <c r="AJ216" i="7"/>
  <c r="AK216" i="7"/>
  <c r="AI217" i="7"/>
  <c r="AJ217" i="7"/>
  <c r="AK217" i="7"/>
  <c r="AI218" i="7"/>
  <c r="AJ218" i="7"/>
  <c r="AK218" i="7"/>
  <c r="AI219" i="7"/>
  <c r="AJ219" i="7"/>
  <c r="AK219" i="7"/>
  <c r="AI220" i="7"/>
  <c r="AJ220" i="7"/>
  <c r="AK220" i="7"/>
  <c r="AI221" i="7"/>
  <c r="AJ221" i="7"/>
  <c r="AK221" i="7"/>
  <c r="AI222" i="7"/>
  <c r="AJ222" i="7"/>
  <c r="AK222" i="7"/>
  <c r="AI223" i="7"/>
  <c r="AJ223" i="7"/>
  <c r="AK223" i="7"/>
  <c r="AI224" i="7"/>
  <c r="AJ224" i="7"/>
  <c r="AK224" i="7"/>
  <c r="AI225" i="7"/>
  <c r="AJ225" i="7"/>
  <c r="AK225" i="7"/>
  <c r="AI226" i="7"/>
  <c r="AJ226" i="7"/>
  <c r="AK226" i="7"/>
  <c r="AI227" i="7"/>
  <c r="AJ227" i="7"/>
  <c r="AK227" i="7"/>
  <c r="AI228" i="7"/>
  <c r="AJ228" i="7"/>
  <c r="AK228" i="7"/>
  <c r="AI229" i="7"/>
  <c r="AJ229" i="7"/>
  <c r="AK229" i="7"/>
  <c r="AI230" i="7"/>
  <c r="AJ230" i="7"/>
  <c r="AK230" i="7"/>
  <c r="AI231" i="7"/>
  <c r="AJ231" i="7"/>
  <c r="AK231" i="7"/>
  <c r="AI232" i="7"/>
  <c r="AJ232" i="7"/>
  <c r="AK232" i="7"/>
  <c r="AI233" i="7"/>
  <c r="AJ233" i="7"/>
  <c r="AK233" i="7"/>
  <c r="AI234" i="7"/>
  <c r="AJ234" i="7"/>
  <c r="AK234" i="7"/>
  <c r="AI235" i="7"/>
  <c r="AJ235" i="7"/>
  <c r="AK235" i="7"/>
  <c r="AI236" i="7"/>
  <c r="AJ236" i="7"/>
  <c r="AK236" i="7"/>
  <c r="AI237" i="7"/>
  <c r="AJ237" i="7"/>
  <c r="AK237" i="7"/>
  <c r="AI238" i="7"/>
  <c r="AJ238" i="7"/>
  <c r="AK238" i="7"/>
  <c r="AI239" i="7"/>
  <c r="AJ239" i="7"/>
  <c r="AK239" i="7"/>
  <c r="AI240" i="7"/>
  <c r="AJ240" i="7"/>
  <c r="AK240" i="7"/>
  <c r="AI241" i="7"/>
  <c r="AJ241" i="7"/>
  <c r="AK241" i="7"/>
  <c r="AI242" i="7"/>
  <c r="AJ242" i="7"/>
  <c r="AK242" i="7"/>
  <c r="AI243" i="7"/>
  <c r="AJ243" i="7"/>
  <c r="AK243" i="7"/>
  <c r="AI244" i="7"/>
  <c r="AJ244" i="7"/>
  <c r="AK244" i="7"/>
  <c r="AI245" i="7"/>
  <c r="AJ245" i="7"/>
  <c r="AK245" i="7"/>
  <c r="AI246" i="7"/>
  <c r="AJ246" i="7"/>
  <c r="AK246" i="7"/>
  <c r="AI247" i="7"/>
  <c r="AJ247" i="7"/>
  <c r="AK247" i="7"/>
  <c r="AJ2" i="7"/>
  <c r="AK2" i="7"/>
  <c r="AI2" i="7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N224" i="7" s="1"/>
  <c r="D625" i="8"/>
  <c r="D626" i="8"/>
  <c r="D627" i="8"/>
  <c r="D628" i="8"/>
  <c r="D629" i="8"/>
  <c r="D630" i="8"/>
  <c r="D631" i="8"/>
  <c r="M3" i="7" s="1"/>
  <c r="Z3" i="7" s="1"/>
  <c r="D632" i="8"/>
  <c r="M83" i="7" s="1"/>
  <c r="Z83" i="7" s="1"/>
  <c r="D633" i="8"/>
  <c r="D634" i="8"/>
  <c r="D635" i="8"/>
  <c r="D636" i="8"/>
  <c r="D637" i="8"/>
  <c r="D638" i="8"/>
  <c r="D639" i="8"/>
  <c r="D640" i="8"/>
  <c r="D641" i="8"/>
  <c r="D642" i="8"/>
  <c r="D643" i="8"/>
  <c r="M19" i="7" s="1"/>
  <c r="Z19" i="7" s="1"/>
  <c r="D644" i="8"/>
  <c r="D645" i="8"/>
  <c r="D646" i="8"/>
  <c r="D647" i="8"/>
  <c r="N244" i="7" s="1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3" i="8"/>
  <c r="AV247" i="7"/>
  <c r="AS247" i="7"/>
  <c r="AR247" i="7"/>
  <c r="AP247" i="7"/>
  <c r="AN247" i="7"/>
  <c r="AF247" i="7"/>
  <c r="AE247" i="7"/>
  <c r="AD247" i="7"/>
  <c r="Y247" i="7"/>
  <c r="AV246" i="7"/>
  <c r="AS246" i="7"/>
  <c r="AR246" i="7"/>
  <c r="AP246" i="7"/>
  <c r="AN246" i="7"/>
  <c r="AF246" i="7"/>
  <c r="AE246" i="7"/>
  <c r="AD246" i="7"/>
  <c r="Y246" i="7"/>
  <c r="AV245" i="7"/>
  <c r="AS245" i="7"/>
  <c r="AR245" i="7"/>
  <c r="AP245" i="7"/>
  <c r="AN245" i="7"/>
  <c r="AF245" i="7"/>
  <c r="AE245" i="7"/>
  <c r="AD245" i="7"/>
  <c r="Y245" i="7"/>
  <c r="AV244" i="7"/>
  <c r="AS244" i="7"/>
  <c r="AR244" i="7"/>
  <c r="AP244" i="7"/>
  <c r="AN244" i="7"/>
  <c r="AF244" i="7"/>
  <c r="AE244" i="7"/>
  <c r="AD244" i="7"/>
  <c r="Y244" i="7"/>
  <c r="AV243" i="7"/>
  <c r="AS243" i="7"/>
  <c r="AR243" i="7"/>
  <c r="AP243" i="7"/>
  <c r="AN243" i="7"/>
  <c r="AF243" i="7"/>
  <c r="AE243" i="7"/>
  <c r="AD243" i="7"/>
  <c r="Y243" i="7"/>
  <c r="AV242" i="7"/>
  <c r="AS242" i="7"/>
  <c r="AR242" i="7"/>
  <c r="AP242" i="7"/>
  <c r="AN242" i="7"/>
  <c r="AF242" i="7"/>
  <c r="AE242" i="7"/>
  <c r="AD242" i="7"/>
  <c r="Y242" i="7"/>
  <c r="AV241" i="7"/>
  <c r="AS241" i="7"/>
  <c r="AR241" i="7"/>
  <c r="AP241" i="7"/>
  <c r="AN241" i="7"/>
  <c r="AF241" i="7"/>
  <c r="AE241" i="7"/>
  <c r="AD241" i="7"/>
  <c r="Y241" i="7"/>
  <c r="AV240" i="7"/>
  <c r="AS240" i="7"/>
  <c r="AR240" i="7"/>
  <c r="AP240" i="7"/>
  <c r="AN240" i="7"/>
  <c r="AF240" i="7"/>
  <c r="AE240" i="7"/>
  <c r="AD240" i="7"/>
  <c r="Y240" i="7"/>
  <c r="AV239" i="7"/>
  <c r="AS239" i="7"/>
  <c r="AR239" i="7"/>
  <c r="AP239" i="7"/>
  <c r="AN239" i="7"/>
  <c r="AF239" i="7"/>
  <c r="AE239" i="7"/>
  <c r="AD239" i="7"/>
  <c r="Y239" i="7"/>
  <c r="AV238" i="7"/>
  <c r="AS238" i="7"/>
  <c r="AR238" i="7"/>
  <c r="AP238" i="7"/>
  <c r="AN238" i="7"/>
  <c r="AF238" i="7"/>
  <c r="AE238" i="7"/>
  <c r="AD238" i="7"/>
  <c r="Y238" i="7"/>
  <c r="AV237" i="7"/>
  <c r="AS237" i="7"/>
  <c r="AR237" i="7"/>
  <c r="AP237" i="7"/>
  <c r="AN237" i="7"/>
  <c r="AF237" i="7"/>
  <c r="AE237" i="7"/>
  <c r="AD237" i="7"/>
  <c r="Y237" i="7"/>
  <c r="AV236" i="7"/>
  <c r="AS236" i="7"/>
  <c r="AR236" i="7"/>
  <c r="AP236" i="7"/>
  <c r="AN236" i="7"/>
  <c r="AF236" i="7"/>
  <c r="AE236" i="7"/>
  <c r="AD236" i="7"/>
  <c r="Y236" i="7"/>
  <c r="AV235" i="7"/>
  <c r="AS235" i="7"/>
  <c r="AR235" i="7"/>
  <c r="AP235" i="7"/>
  <c r="AN235" i="7"/>
  <c r="AF235" i="7"/>
  <c r="AE235" i="7"/>
  <c r="AD235" i="7"/>
  <c r="Y235" i="7"/>
  <c r="AV234" i="7"/>
  <c r="AS234" i="7"/>
  <c r="AR234" i="7"/>
  <c r="AP234" i="7"/>
  <c r="AN234" i="7"/>
  <c r="AF234" i="7"/>
  <c r="AE234" i="7"/>
  <c r="AD234" i="7"/>
  <c r="Y234" i="7"/>
  <c r="AV233" i="7"/>
  <c r="AS233" i="7"/>
  <c r="AR233" i="7"/>
  <c r="AP233" i="7"/>
  <c r="AN233" i="7"/>
  <c r="AF233" i="7"/>
  <c r="AE233" i="7"/>
  <c r="AD233" i="7"/>
  <c r="Y233" i="7"/>
  <c r="AV232" i="7"/>
  <c r="AS232" i="7"/>
  <c r="AR232" i="7"/>
  <c r="AP232" i="7"/>
  <c r="AN232" i="7"/>
  <c r="AF232" i="7"/>
  <c r="AE232" i="7"/>
  <c r="AD232" i="7"/>
  <c r="Y232" i="7"/>
  <c r="AV231" i="7"/>
  <c r="AS231" i="7"/>
  <c r="AR231" i="7"/>
  <c r="AP231" i="7"/>
  <c r="AN231" i="7"/>
  <c r="AF231" i="7"/>
  <c r="AE231" i="7"/>
  <c r="AD231" i="7"/>
  <c r="Y231" i="7"/>
  <c r="AV230" i="7"/>
  <c r="AS230" i="7"/>
  <c r="AR230" i="7"/>
  <c r="AP230" i="7"/>
  <c r="AN230" i="7"/>
  <c r="AF230" i="7"/>
  <c r="AE230" i="7"/>
  <c r="AD230" i="7"/>
  <c r="Y230" i="7"/>
  <c r="AV229" i="7"/>
  <c r="AS229" i="7"/>
  <c r="AR229" i="7"/>
  <c r="AP229" i="7"/>
  <c r="AN229" i="7"/>
  <c r="AF229" i="7"/>
  <c r="AE229" i="7"/>
  <c r="AD229" i="7"/>
  <c r="Y229" i="7"/>
  <c r="AV228" i="7"/>
  <c r="AS228" i="7"/>
  <c r="AR228" i="7"/>
  <c r="AP228" i="7"/>
  <c r="AN228" i="7"/>
  <c r="AF228" i="7"/>
  <c r="AE228" i="7"/>
  <c r="AD228" i="7"/>
  <c r="Y228" i="7"/>
  <c r="AV227" i="7"/>
  <c r="AS227" i="7"/>
  <c r="AR227" i="7"/>
  <c r="AP227" i="7"/>
  <c r="AN227" i="7"/>
  <c r="AF227" i="7"/>
  <c r="AE227" i="7"/>
  <c r="AD227" i="7"/>
  <c r="Y227" i="7"/>
  <c r="AV226" i="7"/>
  <c r="AS226" i="7"/>
  <c r="AR226" i="7"/>
  <c r="AP226" i="7"/>
  <c r="AN226" i="7"/>
  <c r="AF226" i="7"/>
  <c r="AE226" i="7"/>
  <c r="AD226" i="7"/>
  <c r="Y226" i="7"/>
  <c r="AV225" i="7"/>
  <c r="AS225" i="7"/>
  <c r="AR225" i="7"/>
  <c r="AP225" i="7"/>
  <c r="AN225" i="7"/>
  <c r="AF225" i="7"/>
  <c r="AE225" i="7"/>
  <c r="AD225" i="7"/>
  <c r="Y225" i="7"/>
  <c r="AV224" i="7"/>
  <c r="AS224" i="7"/>
  <c r="AR224" i="7"/>
  <c r="AP224" i="7"/>
  <c r="AN224" i="7"/>
  <c r="AF224" i="7"/>
  <c r="AE224" i="7"/>
  <c r="AD224" i="7"/>
  <c r="Y224" i="7"/>
  <c r="AV223" i="7"/>
  <c r="AS223" i="7"/>
  <c r="AR223" i="7"/>
  <c r="AP223" i="7"/>
  <c r="AN223" i="7"/>
  <c r="AF223" i="7"/>
  <c r="AE223" i="7"/>
  <c r="AD223" i="7"/>
  <c r="Y223" i="7"/>
  <c r="AV222" i="7"/>
  <c r="AS222" i="7"/>
  <c r="AR222" i="7"/>
  <c r="AP222" i="7"/>
  <c r="AN222" i="7"/>
  <c r="AF222" i="7"/>
  <c r="AE222" i="7"/>
  <c r="AD222" i="7"/>
  <c r="Y222" i="7"/>
  <c r="AV221" i="7"/>
  <c r="AS221" i="7"/>
  <c r="AR221" i="7"/>
  <c r="AP221" i="7"/>
  <c r="AN221" i="7"/>
  <c r="AF221" i="7"/>
  <c r="AE221" i="7"/>
  <c r="AD221" i="7"/>
  <c r="Y221" i="7"/>
  <c r="AV220" i="7"/>
  <c r="AS220" i="7"/>
  <c r="AR220" i="7"/>
  <c r="AP220" i="7"/>
  <c r="AN220" i="7"/>
  <c r="AF220" i="7"/>
  <c r="AE220" i="7"/>
  <c r="AD220" i="7"/>
  <c r="Y220" i="7"/>
  <c r="AV219" i="7"/>
  <c r="AS219" i="7"/>
  <c r="AR219" i="7"/>
  <c r="AP219" i="7"/>
  <c r="AN219" i="7"/>
  <c r="AF219" i="7"/>
  <c r="AE219" i="7"/>
  <c r="AD219" i="7"/>
  <c r="Y219" i="7"/>
  <c r="AV218" i="7"/>
  <c r="AS218" i="7"/>
  <c r="AR218" i="7"/>
  <c r="AP218" i="7"/>
  <c r="AN218" i="7"/>
  <c r="AF218" i="7"/>
  <c r="AE218" i="7"/>
  <c r="AD218" i="7"/>
  <c r="Y218" i="7"/>
  <c r="AV217" i="7"/>
  <c r="AS217" i="7"/>
  <c r="AR217" i="7"/>
  <c r="AP217" i="7"/>
  <c r="AN217" i="7"/>
  <c r="AF217" i="7"/>
  <c r="AE217" i="7"/>
  <c r="AD217" i="7"/>
  <c r="Y217" i="7"/>
  <c r="AV216" i="7"/>
  <c r="AS216" i="7"/>
  <c r="AR216" i="7"/>
  <c r="AP216" i="7"/>
  <c r="AN216" i="7"/>
  <c r="AF216" i="7"/>
  <c r="AE216" i="7"/>
  <c r="AD216" i="7"/>
  <c r="Y216" i="7"/>
  <c r="AV215" i="7"/>
  <c r="AS215" i="7"/>
  <c r="AR215" i="7"/>
  <c r="AP215" i="7"/>
  <c r="AN215" i="7"/>
  <c r="AF215" i="7"/>
  <c r="AE215" i="7"/>
  <c r="AD215" i="7"/>
  <c r="Y215" i="7"/>
  <c r="AV214" i="7"/>
  <c r="AS214" i="7"/>
  <c r="AR214" i="7"/>
  <c r="AP214" i="7"/>
  <c r="AN214" i="7"/>
  <c r="AF214" i="7"/>
  <c r="AE214" i="7"/>
  <c r="AD214" i="7"/>
  <c r="Y214" i="7"/>
  <c r="AV213" i="7"/>
  <c r="AS213" i="7"/>
  <c r="AR213" i="7"/>
  <c r="AP213" i="7"/>
  <c r="AN213" i="7"/>
  <c r="AF213" i="7"/>
  <c r="AE213" i="7"/>
  <c r="AD213" i="7"/>
  <c r="Y213" i="7"/>
  <c r="AV212" i="7"/>
  <c r="AS212" i="7"/>
  <c r="AR212" i="7"/>
  <c r="AP212" i="7"/>
  <c r="AN212" i="7"/>
  <c r="AF212" i="7"/>
  <c r="AE212" i="7"/>
  <c r="AD212" i="7"/>
  <c r="Y212" i="7"/>
  <c r="AV211" i="7"/>
  <c r="AS211" i="7"/>
  <c r="AR211" i="7"/>
  <c r="AP211" i="7"/>
  <c r="AN211" i="7"/>
  <c r="AF211" i="7"/>
  <c r="AE211" i="7"/>
  <c r="AD211" i="7"/>
  <c r="Y211" i="7"/>
  <c r="AV210" i="7"/>
  <c r="AS210" i="7"/>
  <c r="AR210" i="7"/>
  <c r="AP210" i="7"/>
  <c r="AN210" i="7"/>
  <c r="AF210" i="7"/>
  <c r="AE210" i="7"/>
  <c r="AD210" i="7"/>
  <c r="Y210" i="7"/>
  <c r="AV209" i="7"/>
  <c r="AS209" i="7"/>
  <c r="AR209" i="7"/>
  <c r="AP209" i="7"/>
  <c r="AN209" i="7"/>
  <c r="AF209" i="7"/>
  <c r="AE209" i="7"/>
  <c r="AD209" i="7"/>
  <c r="Y209" i="7"/>
  <c r="AV208" i="7"/>
  <c r="AS208" i="7"/>
  <c r="AR208" i="7"/>
  <c r="AP208" i="7"/>
  <c r="AN208" i="7"/>
  <c r="AF208" i="7"/>
  <c r="AE208" i="7"/>
  <c r="AD208" i="7"/>
  <c r="Y208" i="7"/>
  <c r="AV207" i="7"/>
  <c r="AS207" i="7"/>
  <c r="AR207" i="7"/>
  <c r="AP207" i="7"/>
  <c r="AN207" i="7"/>
  <c r="AF207" i="7"/>
  <c r="AE207" i="7"/>
  <c r="AD207" i="7"/>
  <c r="Y207" i="7"/>
  <c r="AV206" i="7"/>
  <c r="AS206" i="7"/>
  <c r="AR206" i="7"/>
  <c r="AP206" i="7"/>
  <c r="AN206" i="7"/>
  <c r="AF206" i="7"/>
  <c r="AE206" i="7"/>
  <c r="AD206" i="7"/>
  <c r="Y206" i="7"/>
  <c r="AV205" i="7"/>
  <c r="AS205" i="7"/>
  <c r="AR205" i="7"/>
  <c r="AP205" i="7"/>
  <c r="AN205" i="7"/>
  <c r="AF205" i="7"/>
  <c r="AE205" i="7"/>
  <c r="AD205" i="7"/>
  <c r="Y205" i="7"/>
  <c r="AV204" i="7"/>
  <c r="AS204" i="7"/>
  <c r="AR204" i="7"/>
  <c r="AP204" i="7"/>
  <c r="AN204" i="7"/>
  <c r="AF204" i="7"/>
  <c r="AE204" i="7"/>
  <c r="AD204" i="7"/>
  <c r="Y204" i="7"/>
  <c r="AV203" i="7"/>
  <c r="AS203" i="7"/>
  <c r="AR203" i="7"/>
  <c r="AP203" i="7"/>
  <c r="AN203" i="7"/>
  <c r="AL203" i="7"/>
  <c r="AM203" i="7" s="1"/>
  <c r="AF203" i="7"/>
  <c r="AE203" i="7"/>
  <c r="AD203" i="7"/>
  <c r="Y203" i="7"/>
  <c r="AV202" i="7"/>
  <c r="AS202" i="7"/>
  <c r="AR202" i="7"/>
  <c r="AP202" i="7"/>
  <c r="AN202" i="7"/>
  <c r="AF202" i="7"/>
  <c r="AE202" i="7"/>
  <c r="AD202" i="7"/>
  <c r="Y202" i="7"/>
  <c r="AV201" i="7"/>
  <c r="AS201" i="7"/>
  <c r="AR201" i="7"/>
  <c r="AP201" i="7"/>
  <c r="AN201" i="7"/>
  <c r="AF201" i="7"/>
  <c r="AE201" i="7"/>
  <c r="AD201" i="7"/>
  <c r="Y201" i="7"/>
  <c r="AV200" i="7"/>
  <c r="AS200" i="7"/>
  <c r="AR200" i="7"/>
  <c r="AP200" i="7"/>
  <c r="AN200" i="7"/>
  <c r="AF200" i="7"/>
  <c r="AE200" i="7"/>
  <c r="AD200" i="7"/>
  <c r="Y200" i="7"/>
  <c r="AV199" i="7"/>
  <c r="AS199" i="7"/>
  <c r="AR199" i="7"/>
  <c r="AP199" i="7"/>
  <c r="AN199" i="7"/>
  <c r="AF199" i="7"/>
  <c r="AE199" i="7"/>
  <c r="AD199" i="7"/>
  <c r="Y199" i="7"/>
  <c r="AV198" i="7"/>
  <c r="AS198" i="7"/>
  <c r="AR198" i="7"/>
  <c r="AP198" i="7"/>
  <c r="AN198" i="7"/>
  <c r="AF198" i="7"/>
  <c r="AE198" i="7"/>
  <c r="AD198" i="7"/>
  <c r="Y198" i="7"/>
  <c r="AV197" i="7"/>
  <c r="AS197" i="7"/>
  <c r="AR197" i="7"/>
  <c r="AP197" i="7"/>
  <c r="AN197" i="7"/>
  <c r="AF197" i="7"/>
  <c r="AE197" i="7"/>
  <c r="AD197" i="7"/>
  <c r="Y197" i="7"/>
  <c r="AV196" i="7"/>
  <c r="AS196" i="7"/>
  <c r="AR196" i="7"/>
  <c r="AP196" i="7"/>
  <c r="AN196" i="7"/>
  <c r="AF196" i="7"/>
  <c r="AE196" i="7"/>
  <c r="AD196" i="7"/>
  <c r="Y196" i="7"/>
  <c r="AV195" i="7"/>
  <c r="AS195" i="7"/>
  <c r="AR195" i="7"/>
  <c r="AP195" i="7"/>
  <c r="AN195" i="7"/>
  <c r="AF195" i="7"/>
  <c r="AE195" i="7"/>
  <c r="AD195" i="7"/>
  <c r="Y195" i="7"/>
  <c r="AV194" i="7"/>
  <c r="AS194" i="7"/>
  <c r="AR194" i="7"/>
  <c r="AP194" i="7"/>
  <c r="AN194" i="7"/>
  <c r="AF194" i="7"/>
  <c r="AE194" i="7"/>
  <c r="AD194" i="7"/>
  <c r="Y194" i="7"/>
  <c r="AV193" i="7"/>
  <c r="AS193" i="7"/>
  <c r="AR193" i="7"/>
  <c r="AP193" i="7"/>
  <c r="AN193" i="7"/>
  <c r="AF193" i="7"/>
  <c r="AE193" i="7"/>
  <c r="AD193" i="7"/>
  <c r="Y193" i="7"/>
  <c r="AV192" i="7"/>
  <c r="AS192" i="7"/>
  <c r="AR192" i="7"/>
  <c r="AP192" i="7"/>
  <c r="AN192" i="7"/>
  <c r="AF192" i="7"/>
  <c r="AE192" i="7"/>
  <c r="AD192" i="7"/>
  <c r="Y192" i="7"/>
  <c r="AV191" i="7"/>
  <c r="AS191" i="7"/>
  <c r="AR191" i="7"/>
  <c r="AP191" i="7"/>
  <c r="AN191" i="7"/>
  <c r="AF191" i="7"/>
  <c r="AE191" i="7"/>
  <c r="AD191" i="7"/>
  <c r="Y191" i="7"/>
  <c r="AV190" i="7"/>
  <c r="AS190" i="7"/>
  <c r="AR190" i="7"/>
  <c r="AP190" i="7"/>
  <c r="AN190" i="7"/>
  <c r="AF190" i="7"/>
  <c r="AE190" i="7"/>
  <c r="AD190" i="7"/>
  <c r="Y190" i="7"/>
  <c r="AV189" i="7"/>
  <c r="AS189" i="7"/>
  <c r="AR189" i="7"/>
  <c r="AP189" i="7"/>
  <c r="AN189" i="7"/>
  <c r="AF189" i="7"/>
  <c r="AE189" i="7"/>
  <c r="AD189" i="7"/>
  <c r="Y189" i="7"/>
  <c r="AV188" i="7"/>
  <c r="AS188" i="7"/>
  <c r="AR188" i="7"/>
  <c r="AP188" i="7"/>
  <c r="AN188" i="7"/>
  <c r="AF188" i="7"/>
  <c r="AE188" i="7"/>
  <c r="AD188" i="7"/>
  <c r="Y188" i="7"/>
  <c r="AV187" i="7"/>
  <c r="AS187" i="7"/>
  <c r="AR187" i="7"/>
  <c r="AP187" i="7"/>
  <c r="AN187" i="7"/>
  <c r="AF187" i="7"/>
  <c r="AE187" i="7"/>
  <c r="AD187" i="7"/>
  <c r="Y187" i="7"/>
  <c r="AV186" i="7"/>
  <c r="AS186" i="7"/>
  <c r="AR186" i="7"/>
  <c r="AP186" i="7"/>
  <c r="AN186" i="7"/>
  <c r="AF186" i="7"/>
  <c r="AE186" i="7"/>
  <c r="AD186" i="7"/>
  <c r="Y186" i="7"/>
  <c r="AV185" i="7"/>
  <c r="AS185" i="7"/>
  <c r="AR185" i="7"/>
  <c r="AP185" i="7"/>
  <c r="AN185" i="7"/>
  <c r="AF185" i="7"/>
  <c r="AE185" i="7"/>
  <c r="AD185" i="7"/>
  <c r="Y185" i="7"/>
  <c r="AV184" i="7"/>
  <c r="AS184" i="7"/>
  <c r="AR184" i="7"/>
  <c r="AP184" i="7"/>
  <c r="AN184" i="7"/>
  <c r="AF184" i="7"/>
  <c r="AE184" i="7"/>
  <c r="AD184" i="7"/>
  <c r="Y184" i="7"/>
  <c r="AV183" i="7"/>
  <c r="AS183" i="7"/>
  <c r="AR183" i="7"/>
  <c r="AP183" i="7"/>
  <c r="AN183" i="7"/>
  <c r="AF183" i="7"/>
  <c r="AE183" i="7"/>
  <c r="AD183" i="7"/>
  <c r="Y183" i="7"/>
  <c r="AV182" i="7"/>
  <c r="AS182" i="7"/>
  <c r="AR182" i="7"/>
  <c r="AP182" i="7"/>
  <c r="AN182" i="7"/>
  <c r="AF182" i="7"/>
  <c r="AE182" i="7"/>
  <c r="AD182" i="7"/>
  <c r="Y182" i="7"/>
  <c r="AV181" i="7"/>
  <c r="AS181" i="7"/>
  <c r="AR181" i="7"/>
  <c r="AP181" i="7"/>
  <c r="AN181" i="7"/>
  <c r="AF181" i="7"/>
  <c r="AE181" i="7"/>
  <c r="AD181" i="7"/>
  <c r="Y181" i="7"/>
  <c r="AV180" i="7"/>
  <c r="AS180" i="7"/>
  <c r="AR180" i="7"/>
  <c r="AP180" i="7"/>
  <c r="AN180" i="7"/>
  <c r="AF180" i="7"/>
  <c r="AE180" i="7"/>
  <c r="AD180" i="7"/>
  <c r="Y180" i="7"/>
  <c r="AV179" i="7"/>
  <c r="AS179" i="7"/>
  <c r="AR179" i="7"/>
  <c r="AP179" i="7"/>
  <c r="AN179" i="7"/>
  <c r="AF179" i="7"/>
  <c r="AE179" i="7"/>
  <c r="AD179" i="7"/>
  <c r="Y179" i="7"/>
  <c r="AV178" i="7"/>
  <c r="AS178" i="7"/>
  <c r="AR178" i="7"/>
  <c r="AP178" i="7"/>
  <c r="AN178" i="7"/>
  <c r="AF178" i="7"/>
  <c r="AE178" i="7"/>
  <c r="AD178" i="7"/>
  <c r="Y178" i="7"/>
  <c r="AV177" i="7"/>
  <c r="AS177" i="7"/>
  <c r="AR177" i="7"/>
  <c r="AP177" i="7"/>
  <c r="AN177" i="7"/>
  <c r="AF177" i="7"/>
  <c r="AE177" i="7"/>
  <c r="AD177" i="7"/>
  <c r="Y177" i="7"/>
  <c r="AV176" i="7"/>
  <c r="AS176" i="7"/>
  <c r="AR176" i="7"/>
  <c r="AP176" i="7"/>
  <c r="AN176" i="7"/>
  <c r="AF176" i="7"/>
  <c r="AE176" i="7"/>
  <c r="AD176" i="7"/>
  <c r="Y176" i="7"/>
  <c r="AV175" i="7"/>
  <c r="AS175" i="7"/>
  <c r="AR175" i="7"/>
  <c r="AP175" i="7"/>
  <c r="AN175" i="7"/>
  <c r="AF175" i="7"/>
  <c r="AE175" i="7"/>
  <c r="AD175" i="7"/>
  <c r="Y175" i="7"/>
  <c r="AV174" i="7"/>
  <c r="AS174" i="7"/>
  <c r="AR174" i="7"/>
  <c r="AP174" i="7"/>
  <c r="AN174" i="7"/>
  <c r="AF174" i="7"/>
  <c r="AE174" i="7"/>
  <c r="AD174" i="7"/>
  <c r="Y174" i="7"/>
  <c r="AV173" i="7"/>
  <c r="AS173" i="7"/>
  <c r="AR173" i="7"/>
  <c r="AP173" i="7"/>
  <c r="AN173" i="7"/>
  <c r="AF173" i="7"/>
  <c r="AE173" i="7"/>
  <c r="AD173" i="7"/>
  <c r="Y173" i="7"/>
  <c r="AV172" i="7"/>
  <c r="AS172" i="7"/>
  <c r="AR172" i="7"/>
  <c r="AP172" i="7"/>
  <c r="AN172" i="7"/>
  <c r="AF172" i="7"/>
  <c r="AE172" i="7"/>
  <c r="AD172" i="7"/>
  <c r="Y172" i="7"/>
  <c r="AV171" i="7"/>
  <c r="AS171" i="7"/>
  <c r="AR171" i="7"/>
  <c r="AP171" i="7"/>
  <c r="AN171" i="7"/>
  <c r="AF171" i="7"/>
  <c r="AE171" i="7"/>
  <c r="AD171" i="7"/>
  <c r="Y171" i="7"/>
  <c r="AV170" i="7"/>
  <c r="AS170" i="7"/>
  <c r="AR170" i="7"/>
  <c r="AP170" i="7"/>
  <c r="AN170" i="7"/>
  <c r="AF170" i="7"/>
  <c r="AE170" i="7"/>
  <c r="AD170" i="7"/>
  <c r="Y170" i="7"/>
  <c r="AV169" i="7"/>
  <c r="AS169" i="7"/>
  <c r="AR169" i="7"/>
  <c r="AP169" i="7"/>
  <c r="AN169" i="7"/>
  <c r="AF169" i="7"/>
  <c r="AE169" i="7"/>
  <c r="AD169" i="7"/>
  <c r="Y169" i="7"/>
  <c r="AV168" i="7"/>
  <c r="AS168" i="7"/>
  <c r="AR168" i="7"/>
  <c r="AP168" i="7"/>
  <c r="AN168" i="7"/>
  <c r="AF168" i="7"/>
  <c r="AE168" i="7"/>
  <c r="AD168" i="7"/>
  <c r="Y168" i="7"/>
  <c r="AV167" i="7"/>
  <c r="AS167" i="7"/>
  <c r="AR167" i="7"/>
  <c r="AP167" i="7"/>
  <c r="AN167" i="7"/>
  <c r="AF167" i="7"/>
  <c r="AE167" i="7"/>
  <c r="AD167" i="7"/>
  <c r="Y167" i="7"/>
  <c r="AT225" i="7" l="1"/>
  <c r="AU225" i="7" s="1"/>
  <c r="AG173" i="7"/>
  <c r="AH173" i="7" s="1"/>
  <c r="N56" i="7"/>
  <c r="N125" i="7"/>
  <c r="N35" i="7"/>
  <c r="N139" i="7"/>
  <c r="N88" i="7"/>
  <c r="M236" i="7"/>
  <c r="Z236" i="7" s="1"/>
  <c r="M245" i="7"/>
  <c r="AA245" i="7" s="1"/>
  <c r="M239" i="7"/>
  <c r="AA239" i="7" s="1"/>
  <c r="M242" i="7"/>
  <c r="Z242" i="7" s="1"/>
  <c r="N220" i="7"/>
  <c r="N196" i="7"/>
  <c r="N157" i="7"/>
  <c r="M244" i="7"/>
  <c r="AA244" i="7" s="1"/>
  <c r="M238" i="7"/>
  <c r="AA238" i="7" s="1"/>
  <c r="M247" i="7"/>
  <c r="AA247" i="7" s="1"/>
  <c r="M241" i="7"/>
  <c r="Z241" i="7" s="1"/>
  <c r="M75" i="7"/>
  <c r="Z75" i="7" s="1"/>
  <c r="N59" i="7"/>
  <c r="M168" i="7"/>
  <c r="Z168" i="7" s="1"/>
  <c r="N237" i="7"/>
  <c r="M243" i="7"/>
  <c r="AA243" i="7" s="1"/>
  <c r="M237" i="7"/>
  <c r="AA237" i="7" s="1"/>
  <c r="M246" i="7"/>
  <c r="AA246" i="7" s="1"/>
  <c r="M240" i="7"/>
  <c r="AA240" i="7" s="1"/>
  <c r="N13" i="7"/>
  <c r="M214" i="7"/>
  <c r="Z214" i="7" s="1"/>
  <c r="M235" i="7"/>
  <c r="AA235" i="7" s="1"/>
  <c r="N2" i="7"/>
  <c r="AW213" i="7"/>
  <c r="AX213" i="7" s="1"/>
  <c r="AY213" i="7" s="1"/>
  <c r="AW206" i="7"/>
  <c r="AX206" i="7" s="1"/>
  <c r="AY206" i="7" s="1"/>
  <c r="AW230" i="7"/>
  <c r="AX230" i="7" s="1"/>
  <c r="AY230" i="7" s="1"/>
  <c r="AW238" i="7"/>
  <c r="AX238" i="7" s="1"/>
  <c r="AY238" i="7" s="1"/>
  <c r="AW168" i="7"/>
  <c r="AX168" i="7" s="1"/>
  <c r="AY168" i="7" s="1"/>
  <c r="AW176" i="7"/>
  <c r="AX176" i="7" s="1"/>
  <c r="AY176" i="7" s="1"/>
  <c r="AW207" i="7"/>
  <c r="AW247" i="7"/>
  <c r="AX247" i="7" s="1"/>
  <c r="AY247" i="7" s="1"/>
  <c r="AW221" i="7"/>
  <c r="AX221" i="7" s="1"/>
  <c r="AY221" i="7" s="1"/>
  <c r="AW245" i="7"/>
  <c r="AX245" i="7" s="1"/>
  <c r="AY245" i="7" s="1"/>
  <c r="AW246" i="7"/>
  <c r="AX246" i="7" s="1"/>
  <c r="AY246" i="7" s="1"/>
  <c r="AW184" i="7"/>
  <c r="AX184" i="7" s="1"/>
  <c r="AY184" i="7" s="1"/>
  <c r="AW192" i="7"/>
  <c r="AX192" i="7" s="1"/>
  <c r="AY192" i="7" s="1"/>
  <c r="AW200" i="7"/>
  <c r="AX200" i="7" s="1"/>
  <c r="AY200" i="7" s="1"/>
  <c r="AW215" i="7"/>
  <c r="AX215" i="7" s="1"/>
  <c r="AY215" i="7" s="1"/>
  <c r="AW223" i="7"/>
  <c r="AX223" i="7" s="1"/>
  <c r="AY223" i="7" s="1"/>
  <c r="AW231" i="7"/>
  <c r="AX231" i="7" s="1"/>
  <c r="AY231" i="7" s="1"/>
  <c r="AW239" i="7"/>
  <c r="AX239" i="7" s="1"/>
  <c r="AY239" i="7" s="1"/>
  <c r="AW169" i="7"/>
  <c r="AX169" i="7" s="1"/>
  <c r="AY169" i="7" s="1"/>
  <c r="AW177" i="7"/>
  <c r="AX177" i="7" s="1"/>
  <c r="AY177" i="7" s="1"/>
  <c r="AW185" i="7"/>
  <c r="AX185" i="7" s="1"/>
  <c r="AY185" i="7" s="1"/>
  <c r="AW193" i="7"/>
  <c r="AX193" i="7" s="1"/>
  <c r="AY193" i="7" s="1"/>
  <c r="AW201" i="7"/>
  <c r="AX201" i="7" s="1"/>
  <c r="AY201" i="7" s="1"/>
  <c r="AW208" i="7"/>
  <c r="AX208" i="7" s="1"/>
  <c r="AY208" i="7" s="1"/>
  <c r="AW216" i="7"/>
  <c r="AX216" i="7" s="1"/>
  <c r="AY216" i="7" s="1"/>
  <c r="AW224" i="7"/>
  <c r="AX224" i="7" s="1"/>
  <c r="AY224" i="7" s="1"/>
  <c r="AW232" i="7"/>
  <c r="AX232" i="7" s="1"/>
  <c r="AY232" i="7" s="1"/>
  <c r="AW240" i="7"/>
  <c r="AX240" i="7" s="1"/>
  <c r="AY240" i="7" s="1"/>
  <c r="AW174" i="7"/>
  <c r="AW182" i="7"/>
  <c r="AX182" i="7" s="1"/>
  <c r="AY182" i="7" s="1"/>
  <c r="AW205" i="7"/>
  <c r="AW191" i="7"/>
  <c r="AX191" i="7" s="1"/>
  <c r="AY191" i="7" s="1"/>
  <c r="AW214" i="7"/>
  <c r="AX214" i="7" s="1"/>
  <c r="AY214" i="7" s="1"/>
  <c r="AW170" i="7"/>
  <c r="AX170" i="7" s="1"/>
  <c r="AY170" i="7" s="1"/>
  <c r="AW178" i="7"/>
  <c r="AX178" i="7" s="1"/>
  <c r="AY178" i="7" s="1"/>
  <c r="AW241" i="7"/>
  <c r="AX241" i="7" s="1"/>
  <c r="AY241" i="7" s="1"/>
  <c r="AW198" i="7"/>
  <c r="AX198" i="7" s="1"/>
  <c r="AY198" i="7" s="1"/>
  <c r="AW229" i="7"/>
  <c r="AX229" i="7" s="1"/>
  <c r="AY229" i="7" s="1"/>
  <c r="AW237" i="7"/>
  <c r="AX237" i="7" s="1"/>
  <c r="AY237" i="7" s="1"/>
  <c r="AW175" i="7"/>
  <c r="AX175" i="7" s="1"/>
  <c r="AY175" i="7" s="1"/>
  <c r="AW183" i="7"/>
  <c r="AX183" i="7" s="1"/>
  <c r="AY183" i="7" s="1"/>
  <c r="AW186" i="7"/>
  <c r="AX186" i="7" s="1"/>
  <c r="AY186" i="7" s="1"/>
  <c r="AW194" i="7"/>
  <c r="AX194" i="7" s="1"/>
  <c r="AY194" i="7" s="1"/>
  <c r="AW202" i="7"/>
  <c r="AX202" i="7" s="1"/>
  <c r="AY202" i="7" s="1"/>
  <c r="AW209" i="7"/>
  <c r="AX209" i="7" s="1"/>
  <c r="AY209" i="7" s="1"/>
  <c r="AW217" i="7"/>
  <c r="AX217" i="7" s="1"/>
  <c r="AY217" i="7" s="1"/>
  <c r="AW225" i="7"/>
  <c r="AX225" i="7" s="1"/>
  <c r="AY225" i="7" s="1"/>
  <c r="AW233" i="7"/>
  <c r="AX233" i="7" s="1"/>
  <c r="AY233" i="7" s="1"/>
  <c r="AW171" i="7"/>
  <c r="AX171" i="7" s="1"/>
  <c r="AY171" i="7" s="1"/>
  <c r="AW179" i="7"/>
  <c r="AX179" i="7" s="1"/>
  <c r="AY179" i="7" s="1"/>
  <c r="AW187" i="7"/>
  <c r="AX187" i="7" s="1"/>
  <c r="AY187" i="7" s="1"/>
  <c r="AW195" i="7"/>
  <c r="AX195" i="7" s="1"/>
  <c r="AY195" i="7" s="1"/>
  <c r="AW203" i="7"/>
  <c r="AX203" i="7" s="1"/>
  <c r="AY203" i="7" s="1"/>
  <c r="AW210" i="7"/>
  <c r="AX210" i="7" s="1"/>
  <c r="AY210" i="7" s="1"/>
  <c r="AW218" i="7"/>
  <c r="AX218" i="7" s="1"/>
  <c r="AY218" i="7" s="1"/>
  <c r="AW226" i="7"/>
  <c r="AX226" i="7" s="1"/>
  <c r="AY226" i="7" s="1"/>
  <c r="AW234" i="7"/>
  <c r="AX234" i="7" s="1"/>
  <c r="AY234" i="7" s="1"/>
  <c r="AW242" i="7"/>
  <c r="AX242" i="7" s="1"/>
  <c r="AY242" i="7" s="1"/>
  <c r="AW190" i="7"/>
  <c r="AX190" i="7" s="1"/>
  <c r="AY190" i="7" s="1"/>
  <c r="AW167" i="7"/>
  <c r="AX167" i="7" s="1"/>
  <c r="AY167" i="7" s="1"/>
  <c r="AW199" i="7"/>
  <c r="AX199" i="7" s="1"/>
  <c r="AY199" i="7" s="1"/>
  <c r="AW222" i="7"/>
  <c r="AX222" i="7" s="1"/>
  <c r="AY222" i="7" s="1"/>
  <c r="AW172" i="7"/>
  <c r="AW180" i="7"/>
  <c r="AX180" i="7" s="1"/>
  <c r="AY180" i="7" s="1"/>
  <c r="AW188" i="7"/>
  <c r="AX188" i="7" s="1"/>
  <c r="AY188" i="7" s="1"/>
  <c r="AW196" i="7"/>
  <c r="AX196" i="7" s="1"/>
  <c r="AY196" i="7" s="1"/>
  <c r="AW211" i="7"/>
  <c r="AX211" i="7" s="1"/>
  <c r="AY211" i="7" s="1"/>
  <c r="AW219" i="7"/>
  <c r="AX219" i="7" s="1"/>
  <c r="AY219" i="7" s="1"/>
  <c r="AW227" i="7"/>
  <c r="AW235" i="7"/>
  <c r="AX235" i="7" s="1"/>
  <c r="AY235" i="7" s="1"/>
  <c r="AW243" i="7"/>
  <c r="AX243" i="7" s="1"/>
  <c r="AY243" i="7" s="1"/>
  <c r="AW173" i="7"/>
  <c r="AX173" i="7" s="1"/>
  <c r="AY173" i="7" s="1"/>
  <c r="AW181" i="7"/>
  <c r="AX181" i="7" s="1"/>
  <c r="AY181" i="7" s="1"/>
  <c r="AW189" i="7"/>
  <c r="AX189" i="7" s="1"/>
  <c r="AY189" i="7" s="1"/>
  <c r="AW197" i="7"/>
  <c r="AX197" i="7" s="1"/>
  <c r="AY197" i="7" s="1"/>
  <c r="AW204" i="7"/>
  <c r="AX204" i="7" s="1"/>
  <c r="AY204" i="7" s="1"/>
  <c r="AW212" i="7"/>
  <c r="AX212" i="7" s="1"/>
  <c r="AY212" i="7" s="1"/>
  <c r="AW220" i="7"/>
  <c r="AX220" i="7" s="1"/>
  <c r="AY220" i="7" s="1"/>
  <c r="AW228" i="7"/>
  <c r="AW236" i="7"/>
  <c r="AX236" i="7" s="1"/>
  <c r="AY236" i="7" s="1"/>
  <c r="AW244" i="7"/>
  <c r="AX244" i="7" s="1"/>
  <c r="AY244" i="7" s="1"/>
  <c r="M51" i="7"/>
  <c r="Z51" i="7" s="1"/>
  <c r="M147" i="7"/>
  <c r="Z147" i="7" s="1"/>
  <c r="N149" i="7"/>
  <c r="N7" i="7"/>
  <c r="N211" i="7"/>
  <c r="N99" i="7"/>
  <c r="N52" i="7"/>
  <c r="M2" i="7"/>
  <c r="Z2" i="7" s="1"/>
  <c r="N165" i="7"/>
  <c r="N109" i="7"/>
  <c r="M155" i="7"/>
  <c r="Z155" i="7" s="1"/>
  <c r="N3" i="7"/>
  <c r="N205" i="7"/>
  <c r="N156" i="7"/>
  <c r="N92" i="7"/>
  <c r="N43" i="7"/>
  <c r="M163" i="7"/>
  <c r="Z163" i="7" s="1"/>
  <c r="N243" i="7"/>
  <c r="N195" i="7"/>
  <c r="N133" i="7"/>
  <c r="N85" i="7"/>
  <c r="N29" i="7"/>
  <c r="N91" i="7"/>
  <c r="N180" i="7"/>
  <c r="N84" i="7"/>
  <c r="N19" i="7"/>
  <c r="M208" i="7"/>
  <c r="Z208" i="7" s="1"/>
  <c r="M139" i="7"/>
  <c r="Z139" i="7" s="1"/>
  <c r="M43" i="7"/>
  <c r="Z43" i="7" s="1"/>
  <c r="N229" i="7"/>
  <c r="N173" i="7"/>
  <c r="N124" i="7"/>
  <c r="N69" i="7"/>
  <c r="M198" i="7"/>
  <c r="Z198" i="7" s="1"/>
  <c r="M35" i="7"/>
  <c r="Z35" i="7" s="1"/>
  <c r="N221" i="7"/>
  <c r="N172" i="7"/>
  <c r="N117" i="7"/>
  <c r="N61" i="7"/>
  <c r="M142" i="7"/>
  <c r="Z142" i="7" s="1"/>
  <c r="N204" i="7"/>
  <c r="N219" i="7"/>
  <c r="N83" i="7"/>
  <c r="N27" i="7"/>
  <c r="N247" i="7"/>
  <c r="N231" i="7"/>
  <c r="N215" i="7"/>
  <c r="N199" i="7"/>
  <c r="N191" i="7"/>
  <c r="N175" i="7"/>
  <c r="N167" i="7"/>
  <c r="N159" i="7"/>
  <c r="N151" i="7"/>
  <c r="N143" i="7"/>
  <c r="N135" i="7"/>
  <c r="N127" i="7"/>
  <c r="N119" i="7"/>
  <c r="N111" i="7"/>
  <c r="N103" i="7"/>
  <c r="N95" i="7"/>
  <c r="N87" i="7"/>
  <c r="N79" i="7"/>
  <c r="N71" i="7"/>
  <c r="N63" i="7"/>
  <c r="N55" i="7"/>
  <c r="N47" i="7"/>
  <c r="N39" i="7"/>
  <c r="N31" i="7"/>
  <c r="N23" i="7"/>
  <c r="N15" i="7"/>
  <c r="M234" i="7"/>
  <c r="Z234" i="7" s="1"/>
  <c r="M226" i="7"/>
  <c r="Z226" i="7" s="1"/>
  <c r="M218" i="7"/>
  <c r="Z218" i="7" s="1"/>
  <c r="M210" i="7"/>
  <c r="Z210" i="7" s="1"/>
  <c r="M202" i="7"/>
  <c r="Z202" i="7" s="1"/>
  <c r="M194" i="7"/>
  <c r="Z194" i="7" s="1"/>
  <c r="M186" i="7"/>
  <c r="Z186" i="7" s="1"/>
  <c r="M178" i="7"/>
  <c r="Z178" i="7" s="1"/>
  <c r="M170" i="7"/>
  <c r="Z170" i="7" s="1"/>
  <c r="M162" i="7"/>
  <c r="Z162" i="7" s="1"/>
  <c r="M154" i="7"/>
  <c r="Z154" i="7" s="1"/>
  <c r="M146" i="7"/>
  <c r="Z146" i="7" s="1"/>
  <c r="M138" i="7"/>
  <c r="Z138" i="7" s="1"/>
  <c r="M130" i="7"/>
  <c r="Z130" i="7" s="1"/>
  <c r="M122" i="7"/>
  <c r="Z122" i="7" s="1"/>
  <c r="M114" i="7"/>
  <c r="Z114" i="7" s="1"/>
  <c r="M106" i="7"/>
  <c r="Z106" i="7" s="1"/>
  <c r="M98" i="7"/>
  <c r="Z98" i="7" s="1"/>
  <c r="M90" i="7"/>
  <c r="Z90" i="7" s="1"/>
  <c r="M82" i="7"/>
  <c r="Z82" i="7" s="1"/>
  <c r="M74" i="7"/>
  <c r="Z74" i="7" s="1"/>
  <c r="M66" i="7"/>
  <c r="Z66" i="7" s="1"/>
  <c r="M58" i="7"/>
  <c r="Z58" i="7" s="1"/>
  <c r="M50" i="7"/>
  <c r="Z50" i="7" s="1"/>
  <c r="M42" i="7"/>
  <c r="Z42" i="7" s="1"/>
  <c r="M34" i="7"/>
  <c r="Z34" i="7" s="1"/>
  <c r="M26" i="7"/>
  <c r="Z26" i="7" s="1"/>
  <c r="M18" i="7"/>
  <c r="Z18" i="7" s="1"/>
  <c r="M10" i="7"/>
  <c r="Z10" i="7" s="1"/>
  <c r="N245" i="7"/>
  <c r="N179" i="7"/>
  <c r="N155" i="7"/>
  <c r="N123" i="7"/>
  <c r="M230" i="7"/>
  <c r="Z230" i="7" s="1"/>
  <c r="N239" i="7"/>
  <c r="N223" i="7"/>
  <c r="N207" i="7"/>
  <c r="N183" i="7"/>
  <c r="J603" i="8"/>
  <c r="N246" i="7"/>
  <c r="N238" i="7"/>
  <c r="N230" i="7"/>
  <c r="N222" i="7"/>
  <c r="N214" i="7"/>
  <c r="N206" i="7"/>
  <c r="N198" i="7"/>
  <c r="N190" i="7"/>
  <c r="N182" i="7"/>
  <c r="N174" i="7"/>
  <c r="N166" i="7"/>
  <c r="N158" i="7"/>
  <c r="N150" i="7"/>
  <c r="N142" i="7"/>
  <c r="N134" i="7"/>
  <c r="N126" i="7"/>
  <c r="N118" i="7"/>
  <c r="N110" i="7"/>
  <c r="N102" i="7"/>
  <c r="N94" i="7"/>
  <c r="N86" i="7"/>
  <c r="N78" i="7"/>
  <c r="N70" i="7"/>
  <c r="N62" i="7"/>
  <c r="N54" i="7"/>
  <c r="N46" i="7"/>
  <c r="N38" i="7"/>
  <c r="N30" i="7"/>
  <c r="N22" i="7"/>
  <c r="N14" i="7"/>
  <c r="M233" i="7"/>
  <c r="Z233" i="7" s="1"/>
  <c r="M225" i="7"/>
  <c r="Z225" i="7" s="1"/>
  <c r="M217" i="7"/>
  <c r="Z217" i="7" s="1"/>
  <c r="M209" i="7"/>
  <c r="Z209" i="7" s="1"/>
  <c r="M201" i="7"/>
  <c r="Z201" i="7" s="1"/>
  <c r="M193" i="7"/>
  <c r="Z193" i="7" s="1"/>
  <c r="M185" i="7"/>
  <c r="Z185" i="7" s="1"/>
  <c r="M177" i="7"/>
  <c r="Z177" i="7" s="1"/>
  <c r="M169" i="7"/>
  <c r="Z169" i="7" s="1"/>
  <c r="M161" i="7"/>
  <c r="Z161" i="7" s="1"/>
  <c r="M153" i="7"/>
  <c r="Z153" i="7" s="1"/>
  <c r="M145" i="7"/>
  <c r="Z145" i="7" s="1"/>
  <c r="M137" i="7"/>
  <c r="Z137" i="7" s="1"/>
  <c r="M129" i="7"/>
  <c r="Z129" i="7" s="1"/>
  <c r="M121" i="7"/>
  <c r="Z121" i="7" s="1"/>
  <c r="M113" i="7"/>
  <c r="Z113" i="7" s="1"/>
  <c r="M105" i="7"/>
  <c r="Z105" i="7" s="1"/>
  <c r="M97" i="7"/>
  <c r="Z97" i="7" s="1"/>
  <c r="M89" i="7"/>
  <c r="Z89" i="7" s="1"/>
  <c r="M81" i="7"/>
  <c r="Z81" i="7" s="1"/>
  <c r="M73" i="7"/>
  <c r="Z73" i="7" s="1"/>
  <c r="M65" i="7"/>
  <c r="Z65" i="7" s="1"/>
  <c r="M57" i="7"/>
  <c r="Z57" i="7" s="1"/>
  <c r="M49" i="7"/>
  <c r="Z49" i="7" s="1"/>
  <c r="M41" i="7"/>
  <c r="Z41" i="7" s="1"/>
  <c r="M33" i="7"/>
  <c r="Z33" i="7" s="1"/>
  <c r="M25" i="7"/>
  <c r="Z25" i="7" s="1"/>
  <c r="M17" i="7"/>
  <c r="Z17" i="7" s="1"/>
  <c r="M9" i="7"/>
  <c r="Z9" i="7" s="1"/>
  <c r="N101" i="7"/>
  <c r="N93" i="7"/>
  <c r="N77" i="7"/>
  <c r="N53" i="7"/>
  <c r="N45" i="7"/>
  <c r="N37" i="7"/>
  <c r="N21" i="7"/>
  <c r="M232" i="7"/>
  <c r="Z232" i="7" s="1"/>
  <c r="M224" i="7"/>
  <c r="Z224" i="7" s="1"/>
  <c r="M216" i="7"/>
  <c r="Z216" i="7" s="1"/>
  <c r="M200" i="7"/>
  <c r="Z200" i="7" s="1"/>
  <c r="M192" i="7"/>
  <c r="Z192" i="7" s="1"/>
  <c r="M184" i="7"/>
  <c r="Z184" i="7" s="1"/>
  <c r="M176" i="7"/>
  <c r="Z176" i="7" s="1"/>
  <c r="M160" i="7"/>
  <c r="Z160" i="7" s="1"/>
  <c r="M152" i="7"/>
  <c r="Z152" i="7" s="1"/>
  <c r="M144" i="7"/>
  <c r="Z144" i="7" s="1"/>
  <c r="M136" i="7"/>
  <c r="Z136" i="7" s="1"/>
  <c r="M128" i="7"/>
  <c r="Z128" i="7" s="1"/>
  <c r="M120" i="7"/>
  <c r="Z120" i="7" s="1"/>
  <c r="M112" i="7"/>
  <c r="Z112" i="7" s="1"/>
  <c r="M104" i="7"/>
  <c r="Z104" i="7" s="1"/>
  <c r="M96" i="7"/>
  <c r="Z96" i="7" s="1"/>
  <c r="M88" i="7"/>
  <c r="Z88" i="7" s="1"/>
  <c r="M80" i="7"/>
  <c r="Z80" i="7" s="1"/>
  <c r="M72" i="7"/>
  <c r="Z72" i="7" s="1"/>
  <c r="M64" i="7"/>
  <c r="Z64" i="7" s="1"/>
  <c r="M56" i="7"/>
  <c r="Z56" i="7" s="1"/>
  <c r="M48" i="7"/>
  <c r="Z48" i="7" s="1"/>
  <c r="M40" i="7"/>
  <c r="Z40" i="7" s="1"/>
  <c r="M32" i="7"/>
  <c r="Z32" i="7" s="1"/>
  <c r="M24" i="7"/>
  <c r="Z24" i="7" s="1"/>
  <c r="M16" i="7"/>
  <c r="Z16" i="7" s="1"/>
  <c r="M8" i="7"/>
  <c r="Z8" i="7" s="1"/>
  <c r="N188" i="7"/>
  <c r="N164" i="7"/>
  <c r="N148" i="7"/>
  <c r="N140" i="7"/>
  <c r="N132" i="7"/>
  <c r="N116" i="7"/>
  <c r="N108" i="7"/>
  <c r="N100" i="7"/>
  <c r="N76" i="7"/>
  <c r="N68" i="7"/>
  <c r="N60" i="7"/>
  <c r="N44" i="7"/>
  <c r="N36" i="7"/>
  <c r="N28" i="7"/>
  <c r="N20" i="7"/>
  <c r="N12" i="7"/>
  <c r="M231" i="7"/>
  <c r="Z231" i="7" s="1"/>
  <c r="M223" i="7"/>
  <c r="Z223" i="7" s="1"/>
  <c r="M215" i="7"/>
  <c r="Z215" i="7" s="1"/>
  <c r="M207" i="7"/>
  <c r="Z207" i="7" s="1"/>
  <c r="M199" i="7"/>
  <c r="Z199" i="7" s="1"/>
  <c r="M191" i="7"/>
  <c r="Z191" i="7" s="1"/>
  <c r="M183" i="7"/>
  <c r="Z183" i="7" s="1"/>
  <c r="M175" i="7"/>
  <c r="Z175" i="7" s="1"/>
  <c r="M167" i="7"/>
  <c r="Z167" i="7" s="1"/>
  <c r="M159" i="7"/>
  <c r="Z159" i="7" s="1"/>
  <c r="M151" i="7"/>
  <c r="Z151" i="7" s="1"/>
  <c r="M143" i="7"/>
  <c r="Z143" i="7" s="1"/>
  <c r="M135" i="7"/>
  <c r="Z135" i="7" s="1"/>
  <c r="M127" i="7"/>
  <c r="Z127" i="7" s="1"/>
  <c r="M119" i="7"/>
  <c r="Z119" i="7" s="1"/>
  <c r="M111" i="7"/>
  <c r="Z111" i="7" s="1"/>
  <c r="M103" i="7"/>
  <c r="Z103" i="7" s="1"/>
  <c r="M95" i="7"/>
  <c r="Z95" i="7" s="1"/>
  <c r="M87" i="7"/>
  <c r="Z87" i="7" s="1"/>
  <c r="M79" i="7"/>
  <c r="Z79" i="7" s="1"/>
  <c r="M71" i="7"/>
  <c r="Z71" i="7" s="1"/>
  <c r="M63" i="7"/>
  <c r="Z63" i="7" s="1"/>
  <c r="M55" i="7"/>
  <c r="Z55" i="7" s="1"/>
  <c r="M47" i="7"/>
  <c r="Z47" i="7" s="1"/>
  <c r="M39" i="7"/>
  <c r="Z39" i="7" s="1"/>
  <c r="M31" i="7"/>
  <c r="Z31" i="7" s="1"/>
  <c r="M23" i="7"/>
  <c r="Z23" i="7" s="1"/>
  <c r="M15" i="7"/>
  <c r="Z15" i="7" s="1"/>
  <c r="M7" i="7"/>
  <c r="Z7" i="7" s="1"/>
  <c r="N189" i="7"/>
  <c r="N236" i="7"/>
  <c r="N147" i="7"/>
  <c r="M126" i="7"/>
  <c r="Z126" i="7" s="1"/>
  <c r="M118" i="7"/>
  <c r="Z118" i="7" s="1"/>
  <c r="M110" i="7"/>
  <c r="Z110" i="7" s="1"/>
  <c r="M102" i="7"/>
  <c r="Z102" i="7" s="1"/>
  <c r="M94" i="7"/>
  <c r="Z94" i="7" s="1"/>
  <c r="M86" i="7"/>
  <c r="Z86" i="7" s="1"/>
  <c r="M78" i="7"/>
  <c r="Z78" i="7" s="1"/>
  <c r="M70" i="7"/>
  <c r="Z70" i="7" s="1"/>
  <c r="M62" i="7"/>
  <c r="Z62" i="7" s="1"/>
  <c r="M54" i="7"/>
  <c r="Z54" i="7" s="1"/>
  <c r="M46" i="7"/>
  <c r="Z46" i="7" s="1"/>
  <c r="M38" i="7"/>
  <c r="Z38" i="7" s="1"/>
  <c r="M30" i="7"/>
  <c r="Z30" i="7" s="1"/>
  <c r="M22" i="7"/>
  <c r="Z22" i="7" s="1"/>
  <c r="M14" i="7"/>
  <c r="Z14" i="7" s="1"/>
  <c r="M6" i="7"/>
  <c r="Z6" i="7" s="1"/>
  <c r="N213" i="7"/>
  <c r="N197" i="7"/>
  <c r="N141" i="7"/>
  <c r="N212" i="7"/>
  <c r="N227" i="7"/>
  <c r="N187" i="7"/>
  <c r="N131" i="7"/>
  <c r="N107" i="7"/>
  <c r="N67" i="7"/>
  <c r="N51" i="7"/>
  <c r="M222" i="7"/>
  <c r="Z222" i="7" s="1"/>
  <c r="M206" i="7"/>
  <c r="Z206" i="7" s="1"/>
  <c r="M190" i="7"/>
  <c r="Z190" i="7" s="1"/>
  <c r="M182" i="7"/>
  <c r="Z182" i="7" s="1"/>
  <c r="M166" i="7"/>
  <c r="Z166" i="7" s="1"/>
  <c r="M158" i="7"/>
  <c r="Z158" i="7" s="1"/>
  <c r="M150" i="7"/>
  <c r="Z150" i="7" s="1"/>
  <c r="M134" i="7"/>
  <c r="Z134" i="7" s="1"/>
  <c r="N5" i="7"/>
  <c r="N242" i="7"/>
  <c r="N234" i="7"/>
  <c r="N226" i="7"/>
  <c r="N218" i="7"/>
  <c r="N210" i="7"/>
  <c r="N202" i="7"/>
  <c r="N194" i="7"/>
  <c r="N186" i="7"/>
  <c r="N178" i="7"/>
  <c r="N170" i="7"/>
  <c r="N162" i="7"/>
  <c r="N154" i="7"/>
  <c r="N146" i="7"/>
  <c r="N138" i="7"/>
  <c r="N130" i="7"/>
  <c r="N122" i="7"/>
  <c r="N114" i="7"/>
  <c r="N106" i="7"/>
  <c r="N98" i="7"/>
  <c r="N90" i="7"/>
  <c r="N82" i="7"/>
  <c r="N74" i="7"/>
  <c r="N66" i="7"/>
  <c r="N58" i="7"/>
  <c r="N50" i="7"/>
  <c r="N42" i="7"/>
  <c r="N34" i="7"/>
  <c r="N26" i="7"/>
  <c r="N18" i="7"/>
  <c r="N10" i="7"/>
  <c r="M229" i="7"/>
  <c r="Z229" i="7" s="1"/>
  <c r="M221" i="7"/>
  <c r="Z221" i="7" s="1"/>
  <c r="M213" i="7"/>
  <c r="Z213" i="7" s="1"/>
  <c r="M205" i="7"/>
  <c r="Z205" i="7" s="1"/>
  <c r="M197" i="7"/>
  <c r="Z197" i="7" s="1"/>
  <c r="M189" i="7"/>
  <c r="Z189" i="7" s="1"/>
  <c r="M181" i="7"/>
  <c r="Z181" i="7" s="1"/>
  <c r="M173" i="7"/>
  <c r="Z173" i="7" s="1"/>
  <c r="M165" i="7"/>
  <c r="Z165" i="7" s="1"/>
  <c r="M157" i="7"/>
  <c r="Z157" i="7" s="1"/>
  <c r="M149" i="7"/>
  <c r="Z149" i="7" s="1"/>
  <c r="M141" i="7"/>
  <c r="Z141" i="7" s="1"/>
  <c r="M133" i="7"/>
  <c r="Z133" i="7" s="1"/>
  <c r="M125" i="7"/>
  <c r="Z125" i="7" s="1"/>
  <c r="M117" i="7"/>
  <c r="Z117" i="7" s="1"/>
  <c r="M109" i="7"/>
  <c r="Z109" i="7" s="1"/>
  <c r="M101" i="7"/>
  <c r="Z101" i="7" s="1"/>
  <c r="M93" i="7"/>
  <c r="Z93" i="7" s="1"/>
  <c r="M85" i="7"/>
  <c r="Z85" i="7" s="1"/>
  <c r="M77" i="7"/>
  <c r="Z77" i="7" s="1"/>
  <c r="M69" i="7"/>
  <c r="Z69" i="7" s="1"/>
  <c r="M61" i="7"/>
  <c r="Z61" i="7" s="1"/>
  <c r="M53" i="7"/>
  <c r="Z53" i="7" s="1"/>
  <c r="M45" i="7"/>
  <c r="Z45" i="7" s="1"/>
  <c r="M37" i="7"/>
  <c r="Z37" i="7" s="1"/>
  <c r="M29" i="7"/>
  <c r="Z29" i="7" s="1"/>
  <c r="M21" i="7"/>
  <c r="Z21" i="7" s="1"/>
  <c r="M13" i="7"/>
  <c r="Z13" i="7" s="1"/>
  <c r="M5" i="7"/>
  <c r="Z5" i="7" s="1"/>
  <c r="N228" i="7"/>
  <c r="N235" i="7"/>
  <c r="N163" i="7"/>
  <c r="N115" i="7"/>
  <c r="N75" i="7"/>
  <c r="N11" i="7"/>
  <c r="M174" i="7"/>
  <c r="Z174" i="7" s="1"/>
  <c r="N4" i="7"/>
  <c r="N241" i="7"/>
  <c r="N233" i="7"/>
  <c r="N225" i="7"/>
  <c r="N217" i="7"/>
  <c r="N209" i="7"/>
  <c r="N201" i="7"/>
  <c r="N193" i="7"/>
  <c r="N185" i="7"/>
  <c r="N177" i="7"/>
  <c r="N169" i="7"/>
  <c r="N161" i="7"/>
  <c r="N153" i="7"/>
  <c r="N145" i="7"/>
  <c r="N137" i="7"/>
  <c r="N129" i="7"/>
  <c r="N121" i="7"/>
  <c r="N113" i="7"/>
  <c r="N105" i="7"/>
  <c r="N97" i="7"/>
  <c r="N89" i="7"/>
  <c r="N81" i="7"/>
  <c r="N73" i="7"/>
  <c r="N65" i="7"/>
  <c r="N57" i="7"/>
  <c r="N49" i="7"/>
  <c r="N41" i="7"/>
  <c r="N33" i="7"/>
  <c r="N25" i="7"/>
  <c r="N17" i="7"/>
  <c r="N9" i="7"/>
  <c r="M228" i="7"/>
  <c r="Z228" i="7" s="1"/>
  <c r="M220" i="7"/>
  <c r="Z220" i="7" s="1"/>
  <c r="M212" i="7"/>
  <c r="Z212" i="7" s="1"/>
  <c r="M204" i="7"/>
  <c r="Z204" i="7" s="1"/>
  <c r="M196" i="7"/>
  <c r="Z196" i="7" s="1"/>
  <c r="M188" i="7"/>
  <c r="Z188" i="7" s="1"/>
  <c r="M180" i="7"/>
  <c r="Z180" i="7" s="1"/>
  <c r="M172" i="7"/>
  <c r="Z172" i="7" s="1"/>
  <c r="M164" i="7"/>
  <c r="Z164" i="7" s="1"/>
  <c r="M156" i="7"/>
  <c r="Z156" i="7" s="1"/>
  <c r="M148" i="7"/>
  <c r="Z148" i="7" s="1"/>
  <c r="M140" i="7"/>
  <c r="Z140" i="7" s="1"/>
  <c r="M132" i="7"/>
  <c r="Z132" i="7" s="1"/>
  <c r="M124" i="7"/>
  <c r="Z124" i="7" s="1"/>
  <c r="M116" i="7"/>
  <c r="Z116" i="7" s="1"/>
  <c r="M108" i="7"/>
  <c r="Z108" i="7" s="1"/>
  <c r="M100" i="7"/>
  <c r="Z100" i="7" s="1"/>
  <c r="M92" i="7"/>
  <c r="Z92" i="7" s="1"/>
  <c r="M84" i="7"/>
  <c r="Z84" i="7" s="1"/>
  <c r="M76" i="7"/>
  <c r="Z76" i="7" s="1"/>
  <c r="M68" i="7"/>
  <c r="Z68" i="7" s="1"/>
  <c r="M60" i="7"/>
  <c r="Z60" i="7" s="1"/>
  <c r="M52" i="7"/>
  <c r="Z52" i="7" s="1"/>
  <c r="M44" i="7"/>
  <c r="Z44" i="7" s="1"/>
  <c r="M36" i="7"/>
  <c r="Z36" i="7" s="1"/>
  <c r="M28" i="7"/>
  <c r="Z28" i="7" s="1"/>
  <c r="M20" i="7"/>
  <c r="Z20" i="7" s="1"/>
  <c r="M12" i="7"/>
  <c r="Z12" i="7" s="1"/>
  <c r="M4" i="7"/>
  <c r="Z4" i="7" s="1"/>
  <c r="N181" i="7"/>
  <c r="N6" i="7"/>
  <c r="N203" i="7"/>
  <c r="N171" i="7"/>
  <c r="N240" i="7"/>
  <c r="N232" i="7"/>
  <c r="N216" i="7"/>
  <c r="N208" i="7"/>
  <c r="N200" i="7"/>
  <c r="N192" i="7"/>
  <c r="N184" i="7"/>
  <c r="N176" i="7"/>
  <c r="N168" i="7"/>
  <c r="N160" i="7"/>
  <c r="N152" i="7"/>
  <c r="N144" i="7"/>
  <c r="N136" i="7"/>
  <c r="N128" i="7"/>
  <c r="N120" i="7"/>
  <c r="N112" i="7"/>
  <c r="N104" i="7"/>
  <c r="N96" i="7"/>
  <c r="N80" i="7"/>
  <c r="N72" i="7"/>
  <c r="N64" i="7"/>
  <c r="N48" i="7"/>
  <c r="N40" i="7"/>
  <c r="N32" i="7"/>
  <c r="N24" i="7"/>
  <c r="N16" i="7"/>
  <c r="N8" i="7"/>
  <c r="M227" i="7"/>
  <c r="Z227" i="7" s="1"/>
  <c r="M219" i="7"/>
  <c r="Z219" i="7" s="1"/>
  <c r="M211" i="7"/>
  <c r="Z211" i="7" s="1"/>
  <c r="M203" i="7"/>
  <c r="Z203" i="7" s="1"/>
  <c r="M195" i="7"/>
  <c r="Z195" i="7" s="1"/>
  <c r="M187" i="7"/>
  <c r="Z187" i="7" s="1"/>
  <c r="M179" i="7"/>
  <c r="Z179" i="7" s="1"/>
  <c r="M171" i="7"/>
  <c r="Z171" i="7" s="1"/>
  <c r="M131" i="7"/>
  <c r="Z131" i="7" s="1"/>
  <c r="M123" i="7"/>
  <c r="Z123" i="7" s="1"/>
  <c r="M115" i="7"/>
  <c r="Z115" i="7" s="1"/>
  <c r="M107" i="7"/>
  <c r="Z107" i="7" s="1"/>
  <c r="M99" i="7"/>
  <c r="Z99" i="7" s="1"/>
  <c r="M91" i="7"/>
  <c r="Z91" i="7" s="1"/>
  <c r="M67" i="7"/>
  <c r="Z67" i="7" s="1"/>
  <c r="M59" i="7"/>
  <c r="Z59" i="7" s="1"/>
  <c r="M27" i="7"/>
  <c r="Z27" i="7" s="1"/>
  <c r="M11" i="7"/>
  <c r="Z11" i="7" s="1"/>
  <c r="AT229" i="7"/>
  <c r="AU229" i="7" s="1"/>
  <c r="AT193" i="7"/>
  <c r="AU193" i="7" s="1"/>
  <c r="AL221" i="7"/>
  <c r="AM221" i="7" s="1"/>
  <c r="AT175" i="7"/>
  <c r="AU175" i="7" s="1"/>
  <c r="AT182" i="7"/>
  <c r="AU182" i="7" s="1"/>
  <c r="AT246" i="7"/>
  <c r="AU246" i="7" s="1"/>
  <c r="AT227" i="7"/>
  <c r="AU227" i="7" s="1"/>
  <c r="AG180" i="7"/>
  <c r="AH180" i="7" s="1"/>
  <c r="AT202" i="7"/>
  <c r="AU202" i="7" s="1"/>
  <c r="AT221" i="7"/>
  <c r="AU221" i="7" s="1"/>
  <c r="AL234" i="7"/>
  <c r="AM234" i="7" s="1"/>
  <c r="AG171" i="7"/>
  <c r="AH171" i="7" s="1"/>
  <c r="AL194" i="7"/>
  <c r="AM194" i="7" s="1"/>
  <c r="AL196" i="7"/>
  <c r="AM196" i="7" s="1"/>
  <c r="AT210" i="7"/>
  <c r="AU210" i="7" s="1"/>
  <c r="AL211" i="7"/>
  <c r="AM211" i="7" s="1"/>
  <c r="AL213" i="7"/>
  <c r="AM213" i="7" s="1"/>
  <c r="AT233" i="7"/>
  <c r="AU233" i="7" s="1"/>
  <c r="AG235" i="7"/>
  <c r="AH235" i="7" s="1"/>
  <c r="AT235" i="7"/>
  <c r="AU235" i="7" s="1"/>
  <c r="AL244" i="7"/>
  <c r="AM244" i="7" s="1"/>
  <c r="AX174" i="7"/>
  <c r="AY174" i="7" s="1"/>
  <c r="AX172" i="7"/>
  <c r="AY172" i="7" s="1"/>
  <c r="AL179" i="7"/>
  <c r="AM179" i="7" s="1"/>
  <c r="AX207" i="7"/>
  <c r="AY207" i="7" s="1"/>
  <c r="AL187" i="7"/>
  <c r="AM187" i="7" s="1"/>
  <c r="AL189" i="7"/>
  <c r="AM189" i="7" s="1"/>
  <c r="AT228" i="7"/>
  <c r="AU228" i="7" s="1"/>
  <c r="AT230" i="7"/>
  <c r="AU230" i="7" s="1"/>
  <c r="AL216" i="7"/>
  <c r="AM216" i="7" s="1"/>
  <c r="AL225" i="7"/>
  <c r="AM225" i="7" s="1"/>
  <c r="AL235" i="7"/>
  <c r="AM235" i="7" s="1"/>
  <c r="AL237" i="7"/>
  <c r="AM237" i="7" s="1"/>
  <c r="AT238" i="7"/>
  <c r="AU238" i="7" s="1"/>
  <c r="AL239" i="7"/>
  <c r="AM239" i="7" s="1"/>
  <c r="AL245" i="7"/>
  <c r="AM245" i="7" s="1"/>
  <c r="AL247" i="7"/>
  <c r="AM247" i="7" s="1"/>
  <c r="AL168" i="7"/>
  <c r="AM168" i="7" s="1"/>
  <c r="AL170" i="7"/>
  <c r="AM170" i="7" s="1"/>
  <c r="AL174" i="7"/>
  <c r="AM174" i="7" s="1"/>
  <c r="AL185" i="7"/>
  <c r="AM185" i="7" s="1"/>
  <c r="AL206" i="7"/>
  <c r="AM206" i="7" s="1"/>
  <c r="AL198" i="7"/>
  <c r="AM198" i="7" s="1"/>
  <c r="AL176" i="7"/>
  <c r="AM176" i="7" s="1"/>
  <c r="AL180" i="7"/>
  <c r="AM180" i="7" s="1"/>
  <c r="AL195" i="7"/>
  <c r="AM195" i="7" s="1"/>
  <c r="AL208" i="7"/>
  <c r="AM208" i="7" s="1"/>
  <c r="AL217" i="7"/>
  <c r="AM217" i="7" s="1"/>
  <c r="AL219" i="7"/>
  <c r="AM219" i="7" s="1"/>
  <c r="AL227" i="7"/>
  <c r="AM227" i="7" s="1"/>
  <c r="AL182" i="7"/>
  <c r="AM182" i="7" s="1"/>
  <c r="AL184" i="7"/>
  <c r="AM184" i="7" s="1"/>
  <c r="AL199" i="7"/>
  <c r="AM199" i="7" s="1"/>
  <c r="AL205" i="7"/>
  <c r="AM205" i="7" s="1"/>
  <c r="AL243" i="7"/>
  <c r="AM243" i="7" s="1"/>
  <c r="AL169" i="7"/>
  <c r="AM169" i="7" s="1"/>
  <c r="AL181" i="7"/>
  <c r="AM181" i="7" s="1"/>
  <c r="AL188" i="7"/>
  <c r="AM188" i="7" s="1"/>
  <c r="AL173" i="7"/>
  <c r="AM173" i="7" s="1"/>
  <c r="AL192" i="7"/>
  <c r="AM192" i="7" s="1"/>
  <c r="AL224" i="7"/>
  <c r="AM224" i="7" s="1"/>
  <c r="AL230" i="7"/>
  <c r="AM230" i="7" s="1"/>
  <c r="AT208" i="7"/>
  <c r="AU208" i="7" s="1"/>
  <c r="AT192" i="7"/>
  <c r="AU192" i="7" s="1"/>
  <c r="AT194" i="7"/>
  <c r="AU194" i="7" s="1"/>
  <c r="AT195" i="7"/>
  <c r="AU195" i="7" s="1"/>
  <c r="AG198" i="7"/>
  <c r="AH198" i="7" s="1"/>
  <c r="AT198" i="7"/>
  <c r="AU198" i="7" s="1"/>
  <c r="AG168" i="7"/>
  <c r="AH168" i="7" s="1"/>
  <c r="AT168" i="7"/>
  <c r="AU168" i="7" s="1"/>
  <c r="AT170" i="7"/>
  <c r="AU170" i="7" s="1"/>
  <c r="AG177" i="7"/>
  <c r="AH177" i="7" s="1"/>
  <c r="AT181" i="7"/>
  <c r="AU181" i="7" s="1"/>
  <c r="AG188" i="7"/>
  <c r="AH188" i="7" s="1"/>
  <c r="AG205" i="7"/>
  <c r="AH205" i="7" s="1"/>
  <c r="AT205" i="7"/>
  <c r="AU205" i="7" s="1"/>
  <c r="AG212" i="7"/>
  <c r="AH212" i="7" s="1"/>
  <c r="AT214" i="7"/>
  <c r="AU214" i="7" s="1"/>
  <c r="AG190" i="7"/>
  <c r="AH190" i="7" s="1"/>
  <c r="AT190" i="7"/>
  <c r="AU190" i="7" s="1"/>
  <c r="AG193" i="7"/>
  <c r="AH193" i="7" s="1"/>
  <c r="AG244" i="7"/>
  <c r="AH244" i="7" s="1"/>
  <c r="AG192" i="7"/>
  <c r="AH192" i="7" s="1"/>
  <c r="AG209" i="7"/>
  <c r="AH209" i="7" s="1"/>
  <c r="AT211" i="7"/>
  <c r="AU211" i="7" s="1"/>
  <c r="AT222" i="7"/>
  <c r="AU222" i="7" s="1"/>
  <c r="AT237" i="7"/>
  <c r="AU237" i="7" s="1"/>
  <c r="AG204" i="7"/>
  <c r="AH204" i="7" s="1"/>
  <c r="AG208" i="7"/>
  <c r="AH208" i="7" s="1"/>
  <c r="AG178" i="7"/>
  <c r="AH178" i="7" s="1"/>
  <c r="AT189" i="7"/>
  <c r="AU189" i="7" s="1"/>
  <c r="AG194" i="7"/>
  <c r="AH194" i="7" s="1"/>
  <c r="AG196" i="7"/>
  <c r="AH196" i="7" s="1"/>
  <c r="AT196" i="7"/>
  <c r="AU196" i="7" s="1"/>
  <c r="AG199" i="7"/>
  <c r="AH199" i="7" s="1"/>
  <c r="AG215" i="7"/>
  <c r="AH215" i="7" s="1"/>
  <c r="AT217" i="7"/>
  <c r="AU217" i="7" s="1"/>
  <c r="AT232" i="7"/>
  <c r="AU232" i="7" s="1"/>
  <c r="AG247" i="7"/>
  <c r="AH247" i="7" s="1"/>
  <c r="AT247" i="7"/>
  <c r="AU247" i="7" s="1"/>
  <c r="AT174" i="7"/>
  <c r="AU174" i="7" s="1"/>
  <c r="AG185" i="7"/>
  <c r="AH185" i="7" s="1"/>
  <c r="AT207" i="7"/>
  <c r="AU207" i="7" s="1"/>
  <c r="AG174" i="7"/>
  <c r="AH174" i="7" s="1"/>
  <c r="AT169" i="7"/>
  <c r="AU169" i="7" s="1"/>
  <c r="AT171" i="7"/>
  <c r="AU171" i="7" s="1"/>
  <c r="AG182" i="7"/>
  <c r="AH182" i="7" s="1"/>
  <c r="AT197" i="7"/>
  <c r="AU197" i="7" s="1"/>
  <c r="AG220" i="7"/>
  <c r="AH220" i="7" s="1"/>
  <c r="AT220" i="7"/>
  <c r="AU220" i="7" s="1"/>
  <c r="AG229" i="7"/>
  <c r="AH229" i="7" s="1"/>
  <c r="AG238" i="7"/>
  <c r="AH238" i="7" s="1"/>
  <c r="AT199" i="7"/>
  <c r="AU199" i="7" s="1"/>
  <c r="AG202" i="7"/>
  <c r="AH202" i="7" s="1"/>
  <c r="AG236" i="7"/>
  <c r="AH236" i="7" s="1"/>
  <c r="AT240" i="7"/>
  <c r="AU240" i="7" s="1"/>
  <c r="AT173" i="7"/>
  <c r="AU173" i="7" s="1"/>
  <c r="AG175" i="7"/>
  <c r="AH175" i="7" s="1"/>
  <c r="AT191" i="7"/>
  <c r="AU191" i="7" s="1"/>
  <c r="AT201" i="7"/>
  <c r="AU201" i="7" s="1"/>
  <c r="AG206" i="7"/>
  <c r="AH206" i="7" s="1"/>
  <c r="AT206" i="7"/>
  <c r="AU206" i="7" s="1"/>
  <c r="AG213" i="7"/>
  <c r="AH213" i="7" s="1"/>
  <c r="AT213" i="7"/>
  <c r="AU213" i="7" s="1"/>
  <c r="AG222" i="7"/>
  <c r="AH222" i="7" s="1"/>
  <c r="AG224" i="7"/>
  <c r="AH224" i="7" s="1"/>
  <c r="AT224" i="7"/>
  <c r="AU224" i="7" s="1"/>
  <c r="AT226" i="7"/>
  <c r="AU226" i="7" s="1"/>
  <c r="AT242" i="7"/>
  <c r="AU242" i="7" s="1"/>
  <c r="AG172" i="7"/>
  <c r="AH172" i="7" s="1"/>
  <c r="AG179" i="7"/>
  <c r="AH179" i="7" s="1"/>
  <c r="AT183" i="7"/>
  <c r="AU183" i="7" s="1"/>
  <c r="AT185" i="7"/>
  <c r="AU185" i="7" s="1"/>
  <c r="AT203" i="7"/>
  <c r="AU203" i="7" s="1"/>
  <c r="AT241" i="7"/>
  <c r="AU241" i="7" s="1"/>
  <c r="AG232" i="7"/>
  <c r="AH232" i="7" s="1"/>
  <c r="AG234" i="7"/>
  <c r="AH234" i="7" s="1"/>
  <c r="AG245" i="7"/>
  <c r="AH245" i="7" s="1"/>
  <c r="AT245" i="7"/>
  <c r="AU245" i="7" s="1"/>
  <c r="AG191" i="7"/>
  <c r="AH191" i="7" s="1"/>
  <c r="AT167" i="7"/>
  <c r="AU167" i="7" s="1"/>
  <c r="AT176" i="7"/>
  <c r="AU176" i="7" s="1"/>
  <c r="AT178" i="7"/>
  <c r="AU178" i="7" s="1"/>
  <c r="AG200" i="7"/>
  <c r="AH200" i="7" s="1"/>
  <c r="AT200" i="7"/>
  <c r="AU200" i="7" s="1"/>
  <c r="AG201" i="7"/>
  <c r="AH201" i="7" s="1"/>
  <c r="AG203" i="7"/>
  <c r="AH203" i="7" s="1"/>
  <c r="AT204" i="7"/>
  <c r="AU204" i="7" s="1"/>
  <c r="AT209" i="7"/>
  <c r="AU209" i="7" s="1"/>
  <c r="AG211" i="7"/>
  <c r="AH211" i="7" s="1"/>
  <c r="AG217" i="7"/>
  <c r="AH217" i="7" s="1"/>
  <c r="AT223" i="7"/>
  <c r="AU223" i="7" s="1"/>
  <c r="AG226" i="7"/>
  <c r="AH226" i="7" s="1"/>
  <c r="AT236" i="7"/>
  <c r="AU236" i="7" s="1"/>
  <c r="AG210" i="7"/>
  <c r="AH210" i="7" s="1"/>
  <c r="AG167" i="7"/>
  <c r="AH167" i="7" s="1"/>
  <c r="AG169" i="7"/>
  <c r="AH169" i="7" s="1"/>
  <c r="AT172" i="7"/>
  <c r="AU172" i="7" s="1"/>
  <c r="AG181" i="7"/>
  <c r="AH181" i="7" s="1"/>
  <c r="AT188" i="7"/>
  <c r="AU188" i="7" s="1"/>
  <c r="AT212" i="7"/>
  <c r="AU212" i="7" s="1"/>
  <c r="AG216" i="7"/>
  <c r="AH216" i="7" s="1"/>
  <c r="AT216" i="7"/>
  <c r="AU216" i="7" s="1"/>
  <c r="AG223" i="7"/>
  <c r="AH223" i="7" s="1"/>
  <c r="AG231" i="7"/>
  <c r="AH231" i="7" s="1"/>
  <c r="AT231" i="7"/>
  <c r="AU231" i="7" s="1"/>
  <c r="AG242" i="7"/>
  <c r="AH242" i="7" s="1"/>
  <c r="AT244" i="7"/>
  <c r="AU244" i="7" s="1"/>
  <c r="AT184" i="7"/>
  <c r="AU184" i="7" s="1"/>
  <c r="AT187" i="7"/>
  <c r="AU187" i="7" s="1"/>
  <c r="AT218" i="7"/>
  <c r="AU218" i="7" s="1"/>
  <c r="AG221" i="7"/>
  <c r="AH221" i="7" s="1"/>
  <c r="AG228" i="7"/>
  <c r="AH228" i="7" s="1"/>
  <c r="AG246" i="7"/>
  <c r="AH246" i="7" s="1"/>
  <c r="AT177" i="7"/>
  <c r="AU177" i="7" s="1"/>
  <c r="AT180" i="7"/>
  <c r="AU180" i="7" s="1"/>
  <c r="AG197" i="7"/>
  <c r="AH197" i="7" s="1"/>
  <c r="AG207" i="7"/>
  <c r="AH207" i="7" s="1"/>
  <c r="AT215" i="7"/>
  <c r="AU215" i="7" s="1"/>
  <c r="AG218" i="7"/>
  <c r="AH218" i="7" s="1"/>
  <c r="AG225" i="7"/>
  <c r="AH225" i="7" s="1"/>
  <c r="AG230" i="7"/>
  <c r="AH230" i="7" s="1"/>
  <c r="AG233" i="7"/>
  <c r="AH233" i="7" s="1"/>
  <c r="AG237" i="7"/>
  <c r="AH237" i="7" s="1"/>
  <c r="AG240" i="7"/>
  <c r="AH240" i="7" s="1"/>
  <c r="AG241" i="7"/>
  <c r="AH241" i="7" s="1"/>
  <c r="AG243" i="7"/>
  <c r="AH243" i="7" s="1"/>
  <c r="AT243" i="7"/>
  <c r="AU243" i="7" s="1"/>
  <c r="AT179" i="7"/>
  <c r="AU179" i="7" s="1"/>
  <c r="AT186" i="7"/>
  <c r="AU186" i="7" s="1"/>
  <c r="AG214" i="7"/>
  <c r="AH214" i="7" s="1"/>
  <c r="AG170" i="7"/>
  <c r="AH170" i="7" s="1"/>
  <c r="AG183" i="7"/>
  <c r="AH183" i="7" s="1"/>
  <c r="AG186" i="7"/>
  <c r="AH186" i="7" s="1"/>
  <c r="AG189" i="7"/>
  <c r="AH189" i="7" s="1"/>
  <c r="AT219" i="7"/>
  <c r="AU219" i="7" s="1"/>
  <c r="AX227" i="7"/>
  <c r="AY227" i="7" s="1"/>
  <c r="AT234" i="7"/>
  <c r="AU234" i="7" s="1"/>
  <c r="AG239" i="7"/>
  <c r="AH239" i="7" s="1"/>
  <c r="AT239" i="7"/>
  <c r="AU239" i="7" s="1"/>
  <c r="AL171" i="7"/>
  <c r="AM171" i="7" s="1"/>
  <c r="AL177" i="7"/>
  <c r="AM177" i="7" s="1"/>
  <c r="AL172" i="7"/>
  <c r="AM172" i="7" s="1"/>
  <c r="AL175" i="7"/>
  <c r="AM175" i="7" s="1"/>
  <c r="AL167" i="7"/>
  <c r="AM167" i="7" s="1"/>
  <c r="AL193" i="7"/>
  <c r="AM193" i="7" s="1"/>
  <c r="AL201" i="7"/>
  <c r="AM201" i="7" s="1"/>
  <c r="AL241" i="7"/>
  <c r="AM241" i="7" s="1"/>
  <c r="AL204" i="7"/>
  <c r="AM204" i="7" s="1"/>
  <c r="AL226" i="7"/>
  <c r="AM226" i="7" s="1"/>
  <c r="AL246" i="7"/>
  <c r="AM246" i="7" s="1"/>
  <c r="AL214" i="7"/>
  <c r="AM214" i="7" s="1"/>
  <c r="AL222" i="7"/>
  <c r="AM222" i="7" s="1"/>
  <c r="AL229" i="7"/>
  <c r="AM229" i="7" s="1"/>
  <c r="AL240" i="7"/>
  <c r="AM240" i="7" s="1"/>
  <c r="AL200" i="7"/>
  <c r="AM200" i="7" s="1"/>
  <c r="AL232" i="7"/>
  <c r="AM232" i="7" s="1"/>
  <c r="AL197" i="7"/>
  <c r="AM197" i="7" s="1"/>
  <c r="AL212" i="7"/>
  <c r="AM212" i="7" s="1"/>
  <c r="AL220" i="7"/>
  <c r="AM220" i="7" s="1"/>
  <c r="AL231" i="7"/>
  <c r="AM231" i="7" s="1"/>
  <c r="AL236" i="7"/>
  <c r="AM236" i="7" s="1"/>
  <c r="AL242" i="7"/>
  <c r="AM242" i="7" s="1"/>
  <c r="AL209" i="7"/>
  <c r="AM209" i="7" s="1"/>
  <c r="AL228" i="7"/>
  <c r="AM228" i="7" s="1"/>
  <c r="AL233" i="7"/>
  <c r="AM233" i="7" s="1"/>
  <c r="AL238" i="7"/>
  <c r="AM238" i="7" s="1"/>
  <c r="AL190" i="7"/>
  <c r="AM190" i="7" s="1"/>
  <c r="AL183" i="7"/>
  <c r="AM183" i="7" s="1"/>
  <c r="AL186" i="7"/>
  <c r="AM186" i="7" s="1"/>
  <c r="AL191" i="7"/>
  <c r="AM191" i="7" s="1"/>
  <c r="AL218" i="7"/>
  <c r="AM218" i="7" s="1"/>
  <c r="AL223" i="7"/>
  <c r="AM223" i="7" s="1"/>
  <c r="AG227" i="7"/>
  <c r="AH227" i="7" s="1"/>
  <c r="AG195" i="7"/>
  <c r="AH195" i="7" s="1"/>
  <c r="AG176" i="7"/>
  <c r="AH176" i="7" s="1"/>
  <c r="AL210" i="7"/>
  <c r="AM210" i="7" s="1"/>
  <c r="AL215" i="7"/>
  <c r="AM215" i="7" s="1"/>
  <c r="AG187" i="7"/>
  <c r="AH187" i="7" s="1"/>
  <c r="AG219" i="7"/>
  <c r="AH219" i="7" s="1"/>
  <c r="AX228" i="7"/>
  <c r="AY228" i="7" s="1"/>
  <c r="AL178" i="7"/>
  <c r="AM178" i="7" s="1"/>
  <c r="AG184" i="7"/>
  <c r="AH184" i="7" s="1"/>
  <c r="AL202" i="7"/>
  <c r="AM202" i="7" s="1"/>
  <c r="AX205" i="7"/>
  <c r="AY205" i="7" s="1"/>
  <c r="AL207" i="7"/>
  <c r="AM207" i="7" s="1"/>
  <c r="AV118" i="7"/>
  <c r="AS118" i="7"/>
  <c r="AR118" i="7"/>
  <c r="AP118" i="7"/>
  <c r="AN118" i="7"/>
  <c r="AF118" i="7"/>
  <c r="AE118" i="7"/>
  <c r="AD118" i="7"/>
  <c r="Y118" i="7"/>
  <c r="AV117" i="7"/>
  <c r="AS117" i="7"/>
  <c r="AR117" i="7"/>
  <c r="AP117" i="7"/>
  <c r="AN117" i="7"/>
  <c r="AF117" i="7"/>
  <c r="AE117" i="7"/>
  <c r="AD117" i="7"/>
  <c r="Y117" i="7"/>
  <c r="AV116" i="7"/>
  <c r="AS116" i="7"/>
  <c r="AR116" i="7"/>
  <c r="AP116" i="7"/>
  <c r="AN116" i="7"/>
  <c r="AF116" i="7"/>
  <c r="AE116" i="7"/>
  <c r="AD116" i="7"/>
  <c r="Y116" i="7"/>
  <c r="AV115" i="7"/>
  <c r="AS115" i="7"/>
  <c r="AR115" i="7"/>
  <c r="AP115" i="7"/>
  <c r="AN115" i="7"/>
  <c r="AF115" i="7"/>
  <c r="AE115" i="7"/>
  <c r="AD115" i="7"/>
  <c r="Y115" i="7"/>
  <c r="AV114" i="7"/>
  <c r="AS114" i="7"/>
  <c r="AR114" i="7"/>
  <c r="AP114" i="7"/>
  <c r="AN114" i="7"/>
  <c r="AF114" i="7"/>
  <c r="AE114" i="7"/>
  <c r="AD114" i="7"/>
  <c r="Y114" i="7"/>
  <c r="AV113" i="7"/>
  <c r="AS113" i="7"/>
  <c r="AR113" i="7"/>
  <c r="AP113" i="7"/>
  <c r="AN113" i="7"/>
  <c r="AF113" i="7"/>
  <c r="AE113" i="7"/>
  <c r="AD113" i="7"/>
  <c r="Y113" i="7"/>
  <c r="AV112" i="7"/>
  <c r="AS112" i="7"/>
  <c r="AR112" i="7"/>
  <c r="AP112" i="7"/>
  <c r="AN112" i="7"/>
  <c r="AF112" i="7"/>
  <c r="AE112" i="7"/>
  <c r="AD112" i="7"/>
  <c r="Y112" i="7"/>
  <c r="AV111" i="7"/>
  <c r="AS111" i="7"/>
  <c r="AR111" i="7"/>
  <c r="AP111" i="7"/>
  <c r="AN111" i="7"/>
  <c r="AF111" i="7"/>
  <c r="AE111" i="7"/>
  <c r="AD111" i="7"/>
  <c r="Y111" i="7"/>
  <c r="AV110" i="7"/>
  <c r="AS110" i="7"/>
  <c r="AR110" i="7"/>
  <c r="AP110" i="7"/>
  <c r="AN110" i="7"/>
  <c r="AF110" i="7"/>
  <c r="AE110" i="7"/>
  <c r="AD110" i="7"/>
  <c r="Y110" i="7"/>
  <c r="AV109" i="7"/>
  <c r="AS109" i="7"/>
  <c r="AR109" i="7"/>
  <c r="AP109" i="7"/>
  <c r="AN109" i="7"/>
  <c r="AF109" i="7"/>
  <c r="AE109" i="7"/>
  <c r="AD109" i="7"/>
  <c r="Y109" i="7"/>
  <c r="AV166" i="7"/>
  <c r="AS166" i="7"/>
  <c r="AR166" i="7"/>
  <c r="AP166" i="7"/>
  <c r="AN166" i="7"/>
  <c r="AF166" i="7"/>
  <c r="AE166" i="7"/>
  <c r="AD166" i="7"/>
  <c r="Y166" i="7"/>
  <c r="AV165" i="7"/>
  <c r="AS165" i="7"/>
  <c r="AR165" i="7"/>
  <c r="AP165" i="7"/>
  <c r="AN165" i="7"/>
  <c r="AF165" i="7"/>
  <c r="AE165" i="7"/>
  <c r="AD165" i="7"/>
  <c r="Y165" i="7"/>
  <c r="AV164" i="7"/>
  <c r="AS164" i="7"/>
  <c r="AR164" i="7"/>
  <c r="AP164" i="7"/>
  <c r="AN164" i="7"/>
  <c r="AF164" i="7"/>
  <c r="AE164" i="7"/>
  <c r="AD164" i="7"/>
  <c r="Y164" i="7"/>
  <c r="AV163" i="7"/>
  <c r="AS163" i="7"/>
  <c r="AR163" i="7"/>
  <c r="AP163" i="7"/>
  <c r="AN163" i="7"/>
  <c r="AF163" i="7"/>
  <c r="AE163" i="7"/>
  <c r="AD163" i="7"/>
  <c r="Y163" i="7"/>
  <c r="AV162" i="7"/>
  <c r="AS162" i="7"/>
  <c r="AR162" i="7"/>
  <c r="AP162" i="7"/>
  <c r="AN162" i="7"/>
  <c r="AF162" i="7"/>
  <c r="AE162" i="7"/>
  <c r="AD162" i="7"/>
  <c r="Y162" i="7"/>
  <c r="AV161" i="7"/>
  <c r="AS161" i="7"/>
  <c r="AR161" i="7"/>
  <c r="AP161" i="7"/>
  <c r="AN161" i="7"/>
  <c r="AF161" i="7"/>
  <c r="AE161" i="7"/>
  <c r="AD161" i="7"/>
  <c r="Y161" i="7"/>
  <c r="AV160" i="7"/>
  <c r="AS160" i="7"/>
  <c r="AR160" i="7"/>
  <c r="AP160" i="7"/>
  <c r="AN160" i="7"/>
  <c r="AF160" i="7"/>
  <c r="AE160" i="7"/>
  <c r="AD160" i="7"/>
  <c r="Y160" i="7"/>
  <c r="AV159" i="7"/>
  <c r="AS159" i="7"/>
  <c r="AR159" i="7"/>
  <c r="AP159" i="7"/>
  <c r="AN159" i="7"/>
  <c r="AF159" i="7"/>
  <c r="AE159" i="7"/>
  <c r="AD159" i="7"/>
  <c r="Y159" i="7"/>
  <c r="AV158" i="7"/>
  <c r="AS158" i="7"/>
  <c r="AR158" i="7"/>
  <c r="AP158" i="7"/>
  <c r="AN158" i="7"/>
  <c r="AL158" i="7"/>
  <c r="AM158" i="7" s="1"/>
  <c r="AF158" i="7"/>
  <c r="AE158" i="7"/>
  <c r="AD158" i="7"/>
  <c r="Y158" i="7"/>
  <c r="AA158" i="7" s="1"/>
  <c r="AV157" i="7"/>
  <c r="AS157" i="7"/>
  <c r="AR157" i="7"/>
  <c r="AP157" i="7"/>
  <c r="AN157" i="7"/>
  <c r="AF157" i="7"/>
  <c r="AE157" i="7"/>
  <c r="AD157" i="7"/>
  <c r="Y157" i="7"/>
  <c r="AV156" i="7"/>
  <c r="AS156" i="7"/>
  <c r="AR156" i="7"/>
  <c r="AP156" i="7"/>
  <c r="AN156" i="7"/>
  <c r="AF156" i="7"/>
  <c r="AE156" i="7"/>
  <c r="AD156" i="7"/>
  <c r="Y156" i="7"/>
  <c r="AV155" i="7"/>
  <c r="AS155" i="7"/>
  <c r="AR155" i="7"/>
  <c r="AP155" i="7"/>
  <c r="AN155" i="7"/>
  <c r="AF155" i="7"/>
  <c r="AE155" i="7"/>
  <c r="AD155" i="7"/>
  <c r="Y155" i="7"/>
  <c r="AV154" i="7"/>
  <c r="AS154" i="7"/>
  <c r="AR154" i="7"/>
  <c r="AP154" i="7"/>
  <c r="AN154" i="7"/>
  <c r="AF154" i="7"/>
  <c r="AE154" i="7"/>
  <c r="AD154" i="7"/>
  <c r="Y154" i="7"/>
  <c r="AV153" i="7"/>
  <c r="AS153" i="7"/>
  <c r="AR153" i="7"/>
  <c r="AP153" i="7"/>
  <c r="AN153" i="7"/>
  <c r="AF153" i="7"/>
  <c r="AE153" i="7"/>
  <c r="AD153" i="7"/>
  <c r="Y153" i="7"/>
  <c r="AV151" i="7"/>
  <c r="AS151" i="7"/>
  <c r="AR151" i="7"/>
  <c r="AP151" i="7"/>
  <c r="AN151" i="7"/>
  <c r="AF151" i="7"/>
  <c r="AE151" i="7"/>
  <c r="AD151" i="7"/>
  <c r="Y151" i="7"/>
  <c r="AV150" i="7"/>
  <c r="AS150" i="7"/>
  <c r="AR150" i="7"/>
  <c r="AP150" i="7"/>
  <c r="AN150" i="7"/>
  <c r="AF150" i="7"/>
  <c r="AE150" i="7"/>
  <c r="AD150" i="7"/>
  <c r="Y150" i="7"/>
  <c r="AA150" i="7" s="1"/>
  <c r="AV148" i="7"/>
  <c r="AS148" i="7"/>
  <c r="AR148" i="7"/>
  <c r="AP148" i="7"/>
  <c r="AN148" i="7"/>
  <c r="AF148" i="7"/>
  <c r="AE148" i="7"/>
  <c r="AD148" i="7"/>
  <c r="Y148" i="7"/>
  <c r="AV147" i="7"/>
  <c r="AS147" i="7"/>
  <c r="AR147" i="7"/>
  <c r="AP147" i="7"/>
  <c r="AN147" i="7"/>
  <c r="AF147" i="7"/>
  <c r="AE147" i="7"/>
  <c r="AD147" i="7"/>
  <c r="Y147" i="7"/>
  <c r="AV145" i="7"/>
  <c r="AS145" i="7"/>
  <c r="AR145" i="7"/>
  <c r="AP145" i="7"/>
  <c r="AN145" i="7"/>
  <c r="AF145" i="7"/>
  <c r="AE145" i="7"/>
  <c r="AD145" i="7"/>
  <c r="Y145" i="7"/>
  <c r="AV144" i="7"/>
  <c r="AS144" i="7"/>
  <c r="AR144" i="7"/>
  <c r="AP144" i="7"/>
  <c r="AN144" i="7"/>
  <c r="AF144" i="7"/>
  <c r="AE144" i="7"/>
  <c r="AD144" i="7"/>
  <c r="Y144" i="7"/>
  <c r="AV142" i="7"/>
  <c r="AS142" i="7"/>
  <c r="AR142" i="7"/>
  <c r="AP142" i="7"/>
  <c r="AN142" i="7"/>
  <c r="AF142" i="7"/>
  <c r="AE142" i="7"/>
  <c r="AD142" i="7"/>
  <c r="Y142" i="7"/>
  <c r="AV141" i="7"/>
  <c r="AS141" i="7"/>
  <c r="AR141" i="7"/>
  <c r="AP141" i="7"/>
  <c r="AN141" i="7"/>
  <c r="AF141" i="7"/>
  <c r="AE141" i="7"/>
  <c r="AD141" i="7"/>
  <c r="Y141" i="7"/>
  <c r="AA141" i="7" s="1"/>
  <c r="AV139" i="7"/>
  <c r="AS139" i="7"/>
  <c r="AR139" i="7"/>
  <c r="AP139" i="7"/>
  <c r="AN139" i="7"/>
  <c r="AF139" i="7"/>
  <c r="AE139" i="7"/>
  <c r="AD139" i="7"/>
  <c r="Y139" i="7"/>
  <c r="AA139" i="7" s="1"/>
  <c r="AV138" i="7"/>
  <c r="AS138" i="7"/>
  <c r="AR138" i="7"/>
  <c r="AP138" i="7"/>
  <c r="AN138" i="7"/>
  <c r="AF138" i="7"/>
  <c r="AE138" i="7"/>
  <c r="AD138" i="7"/>
  <c r="Y138" i="7"/>
  <c r="AA138" i="7" s="1"/>
  <c r="AV136" i="7"/>
  <c r="AS136" i="7"/>
  <c r="AR136" i="7"/>
  <c r="AP136" i="7"/>
  <c r="AN136" i="7"/>
  <c r="AF136" i="7"/>
  <c r="AE136" i="7"/>
  <c r="AD136" i="7"/>
  <c r="Y136" i="7"/>
  <c r="AA136" i="7" s="1"/>
  <c r="AV135" i="7"/>
  <c r="AS135" i="7"/>
  <c r="AR135" i="7"/>
  <c r="AP135" i="7"/>
  <c r="AN135" i="7"/>
  <c r="AF135" i="7"/>
  <c r="AE135" i="7"/>
  <c r="AD135" i="7"/>
  <c r="Y135" i="7"/>
  <c r="AV133" i="7"/>
  <c r="AS133" i="7"/>
  <c r="AR133" i="7"/>
  <c r="AP133" i="7"/>
  <c r="AN133" i="7"/>
  <c r="AF133" i="7"/>
  <c r="AE133" i="7"/>
  <c r="AD133" i="7"/>
  <c r="Y133" i="7"/>
  <c r="AV132" i="7"/>
  <c r="AS132" i="7"/>
  <c r="AR132" i="7"/>
  <c r="AP132" i="7"/>
  <c r="AN132" i="7"/>
  <c r="AF132" i="7"/>
  <c r="AE132" i="7"/>
  <c r="AD132" i="7"/>
  <c r="Y132" i="7"/>
  <c r="AV130" i="7"/>
  <c r="AS130" i="7"/>
  <c r="AR130" i="7"/>
  <c r="AP130" i="7"/>
  <c r="AN130" i="7"/>
  <c r="AF130" i="7"/>
  <c r="AE130" i="7"/>
  <c r="AD130" i="7"/>
  <c r="Y130" i="7"/>
  <c r="AA130" i="7" s="1"/>
  <c r="AV129" i="7"/>
  <c r="AS129" i="7"/>
  <c r="AR129" i="7"/>
  <c r="AP129" i="7"/>
  <c r="AN129" i="7"/>
  <c r="AF129" i="7"/>
  <c r="AE129" i="7"/>
  <c r="AD129" i="7"/>
  <c r="Y129" i="7"/>
  <c r="AA129" i="7" s="1"/>
  <c r="AV127" i="7"/>
  <c r="AS127" i="7"/>
  <c r="AR127" i="7"/>
  <c r="AP127" i="7"/>
  <c r="AN127" i="7"/>
  <c r="AF127" i="7"/>
  <c r="AE127" i="7"/>
  <c r="AD127" i="7"/>
  <c r="Y127" i="7"/>
  <c r="AV126" i="7"/>
  <c r="AS126" i="7"/>
  <c r="AR126" i="7"/>
  <c r="AP126" i="7"/>
  <c r="AN126" i="7"/>
  <c r="AF126" i="7"/>
  <c r="AE126" i="7"/>
  <c r="AD126" i="7"/>
  <c r="Y126" i="7"/>
  <c r="AA126" i="7" s="1"/>
  <c r="AV124" i="7"/>
  <c r="AS124" i="7"/>
  <c r="AR124" i="7"/>
  <c r="AP124" i="7"/>
  <c r="AN124" i="7"/>
  <c r="AF124" i="7"/>
  <c r="AE124" i="7"/>
  <c r="AD124" i="7"/>
  <c r="Y124" i="7"/>
  <c r="AV123" i="7"/>
  <c r="AS123" i="7"/>
  <c r="AR123" i="7"/>
  <c r="AP123" i="7"/>
  <c r="AN123" i="7"/>
  <c r="AF123" i="7"/>
  <c r="AE123" i="7"/>
  <c r="AD123" i="7"/>
  <c r="Y123" i="7"/>
  <c r="Y122" i="7"/>
  <c r="AD122" i="7"/>
  <c r="AE122" i="7"/>
  <c r="AF122" i="7"/>
  <c r="AN122" i="7"/>
  <c r="AP122" i="7"/>
  <c r="AR122" i="7"/>
  <c r="AS122" i="7"/>
  <c r="AV122" i="7"/>
  <c r="AV121" i="7"/>
  <c r="AS121" i="7"/>
  <c r="AR121" i="7"/>
  <c r="AP121" i="7"/>
  <c r="AN121" i="7"/>
  <c r="AF121" i="7"/>
  <c r="AE121" i="7"/>
  <c r="AD121" i="7"/>
  <c r="Y121" i="7"/>
  <c r="AV120" i="7"/>
  <c r="AS120" i="7"/>
  <c r="AR120" i="7"/>
  <c r="AP120" i="7"/>
  <c r="AN120" i="7"/>
  <c r="AF120" i="7"/>
  <c r="AE120" i="7"/>
  <c r="AD120" i="7"/>
  <c r="Y120" i="7"/>
  <c r="AV108" i="7"/>
  <c r="AS108" i="7"/>
  <c r="AR108" i="7"/>
  <c r="AP108" i="7"/>
  <c r="AN108" i="7"/>
  <c r="AF108" i="7"/>
  <c r="AE108" i="7"/>
  <c r="AD108" i="7"/>
  <c r="Y108" i="7"/>
  <c r="AV104" i="7"/>
  <c r="AS104" i="7"/>
  <c r="AR104" i="7"/>
  <c r="AP104" i="7"/>
  <c r="AN104" i="7"/>
  <c r="AF104" i="7"/>
  <c r="AE104" i="7"/>
  <c r="AD104" i="7"/>
  <c r="Y104" i="7"/>
  <c r="AV103" i="7"/>
  <c r="AS103" i="7"/>
  <c r="AR103" i="7"/>
  <c r="AP103" i="7"/>
  <c r="AN103" i="7"/>
  <c r="AF103" i="7"/>
  <c r="AE103" i="7"/>
  <c r="AD103" i="7"/>
  <c r="Y103" i="7"/>
  <c r="AA103" i="7" s="1"/>
  <c r="AV102" i="7"/>
  <c r="AS102" i="7"/>
  <c r="AR102" i="7"/>
  <c r="AP102" i="7"/>
  <c r="AN102" i="7"/>
  <c r="AF102" i="7"/>
  <c r="AE102" i="7"/>
  <c r="AD102" i="7"/>
  <c r="Y102" i="7"/>
  <c r="AV101" i="7"/>
  <c r="AS101" i="7"/>
  <c r="AR101" i="7"/>
  <c r="AP101" i="7"/>
  <c r="AN101" i="7"/>
  <c r="AF101" i="7"/>
  <c r="AE101" i="7"/>
  <c r="AD101" i="7"/>
  <c r="Y101" i="7"/>
  <c r="AV100" i="7"/>
  <c r="AS100" i="7"/>
  <c r="AR100" i="7"/>
  <c r="AP100" i="7"/>
  <c r="AN100" i="7"/>
  <c r="AF100" i="7"/>
  <c r="AE100" i="7"/>
  <c r="AD100" i="7"/>
  <c r="Y100" i="7"/>
  <c r="AV99" i="7"/>
  <c r="AS99" i="7"/>
  <c r="AR99" i="7"/>
  <c r="AP99" i="7"/>
  <c r="AN99" i="7"/>
  <c r="AF99" i="7"/>
  <c r="AE99" i="7"/>
  <c r="AD99" i="7"/>
  <c r="Y99" i="7"/>
  <c r="AV98" i="7"/>
  <c r="AS98" i="7"/>
  <c r="AR98" i="7"/>
  <c r="AP98" i="7"/>
  <c r="AN98" i="7"/>
  <c r="AF98" i="7"/>
  <c r="AE98" i="7"/>
  <c r="AD98" i="7"/>
  <c r="Y98" i="7"/>
  <c r="AA98" i="7" s="1"/>
  <c r="AV97" i="7"/>
  <c r="AS97" i="7"/>
  <c r="AR97" i="7"/>
  <c r="AP97" i="7"/>
  <c r="AN97" i="7"/>
  <c r="AF97" i="7"/>
  <c r="AE97" i="7"/>
  <c r="AD97" i="7"/>
  <c r="Y97" i="7"/>
  <c r="AV96" i="7"/>
  <c r="AS96" i="7"/>
  <c r="AR96" i="7"/>
  <c r="AP96" i="7"/>
  <c r="AN96" i="7"/>
  <c r="AF96" i="7"/>
  <c r="AE96" i="7"/>
  <c r="AD96" i="7"/>
  <c r="Y96" i="7"/>
  <c r="AV95" i="7"/>
  <c r="AS95" i="7"/>
  <c r="AR95" i="7"/>
  <c r="AP95" i="7"/>
  <c r="AN95" i="7"/>
  <c r="AF95" i="7"/>
  <c r="AE95" i="7"/>
  <c r="AD95" i="7"/>
  <c r="Y95" i="7"/>
  <c r="AV94" i="7"/>
  <c r="AS94" i="7"/>
  <c r="AR94" i="7"/>
  <c r="AP94" i="7"/>
  <c r="AN94" i="7"/>
  <c r="AF94" i="7"/>
  <c r="AE94" i="7"/>
  <c r="AD94" i="7"/>
  <c r="Y94" i="7"/>
  <c r="AV93" i="7"/>
  <c r="AS93" i="7"/>
  <c r="AR93" i="7"/>
  <c r="AP93" i="7"/>
  <c r="AN93" i="7"/>
  <c r="AF93" i="7"/>
  <c r="AE93" i="7"/>
  <c r="AD93" i="7"/>
  <c r="Y93" i="7"/>
  <c r="AV92" i="7"/>
  <c r="AS92" i="7"/>
  <c r="AR92" i="7"/>
  <c r="AP92" i="7"/>
  <c r="AN92" i="7"/>
  <c r="AF92" i="7"/>
  <c r="AE92" i="7"/>
  <c r="AD92" i="7"/>
  <c r="Y92" i="7"/>
  <c r="AV91" i="7"/>
  <c r="AS91" i="7"/>
  <c r="AR91" i="7"/>
  <c r="AP91" i="7"/>
  <c r="AN91" i="7"/>
  <c r="AF91" i="7"/>
  <c r="AE91" i="7"/>
  <c r="AD91" i="7"/>
  <c r="Y91" i="7"/>
  <c r="AV90" i="7"/>
  <c r="AS90" i="7"/>
  <c r="AR90" i="7"/>
  <c r="AP90" i="7"/>
  <c r="AN90" i="7"/>
  <c r="AF90" i="7"/>
  <c r="AE90" i="7"/>
  <c r="AD90" i="7"/>
  <c r="Y90" i="7"/>
  <c r="AV89" i="7"/>
  <c r="AS89" i="7"/>
  <c r="AR89" i="7"/>
  <c r="AP89" i="7"/>
  <c r="AN89" i="7"/>
  <c r="AF89" i="7"/>
  <c r="AE89" i="7"/>
  <c r="AD89" i="7"/>
  <c r="Y89" i="7"/>
  <c r="AV88" i="7"/>
  <c r="AS88" i="7"/>
  <c r="AR88" i="7"/>
  <c r="AP88" i="7"/>
  <c r="AN88" i="7"/>
  <c r="AF88" i="7"/>
  <c r="AE88" i="7"/>
  <c r="AD88" i="7"/>
  <c r="Y88" i="7"/>
  <c r="AV87" i="7"/>
  <c r="AS87" i="7"/>
  <c r="AR87" i="7"/>
  <c r="AP87" i="7"/>
  <c r="AN87" i="7"/>
  <c r="AF87" i="7"/>
  <c r="AE87" i="7"/>
  <c r="AD87" i="7"/>
  <c r="Y87" i="7"/>
  <c r="AV86" i="7"/>
  <c r="AS86" i="7"/>
  <c r="AR86" i="7"/>
  <c r="AP86" i="7"/>
  <c r="AN86" i="7"/>
  <c r="AF86" i="7"/>
  <c r="AE86" i="7"/>
  <c r="AD86" i="7"/>
  <c r="Y86" i="7"/>
  <c r="AV84" i="7"/>
  <c r="AS84" i="7"/>
  <c r="AR84" i="7"/>
  <c r="AP84" i="7"/>
  <c r="AN84" i="7"/>
  <c r="AF84" i="7"/>
  <c r="AE84" i="7"/>
  <c r="AD84" i="7"/>
  <c r="Y84" i="7"/>
  <c r="AV83" i="7"/>
  <c r="AS83" i="7"/>
  <c r="AR83" i="7"/>
  <c r="AP83" i="7"/>
  <c r="AN83" i="7"/>
  <c r="AF83" i="7"/>
  <c r="AE83" i="7"/>
  <c r="AD83" i="7"/>
  <c r="Y83" i="7"/>
  <c r="AA83" i="7" s="1"/>
  <c r="AB83" i="7" s="1"/>
  <c r="AV81" i="7"/>
  <c r="AS81" i="7"/>
  <c r="AR81" i="7"/>
  <c r="AP81" i="7"/>
  <c r="AN81" i="7"/>
  <c r="AF81" i="7"/>
  <c r="AE81" i="7"/>
  <c r="AD81" i="7"/>
  <c r="Y81" i="7"/>
  <c r="AV80" i="7"/>
  <c r="AS80" i="7"/>
  <c r="AR80" i="7"/>
  <c r="AP80" i="7"/>
  <c r="AN80" i="7"/>
  <c r="AF80" i="7"/>
  <c r="AE80" i="7"/>
  <c r="AD80" i="7"/>
  <c r="Y80" i="7"/>
  <c r="AV78" i="7"/>
  <c r="AS78" i="7"/>
  <c r="AR78" i="7"/>
  <c r="AP78" i="7"/>
  <c r="AN78" i="7"/>
  <c r="AF78" i="7"/>
  <c r="AE78" i="7"/>
  <c r="AD78" i="7"/>
  <c r="Y78" i="7"/>
  <c r="AA78" i="7" s="1"/>
  <c r="AV77" i="7"/>
  <c r="AS77" i="7"/>
  <c r="AR77" i="7"/>
  <c r="AP77" i="7"/>
  <c r="AN77" i="7"/>
  <c r="AF77" i="7"/>
  <c r="AE77" i="7"/>
  <c r="AD77" i="7"/>
  <c r="Y77" i="7"/>
  <c r="AA162" i="7" l="1"/>
  <c r="Z244" i="7"/>
  <c r="AA166" i="7"/>
  <c r="AA121" i="7"/>
  <c r="AB244" i="7"/>
  <c r="AA81" i="7"/>
  <c r="AA236" i="7"/>
  <c r="AA123" i="7"/>
  <c r="AB123" i="7" s="1"/>
  <c r="AA135" i="7"/>
  <c r="AA94" i="7"/>
  <c r="AA124" i="7"/>
  <c r="Z243" i="7"/>
  <c r="AB243" i="7" s="1"/>
  <c r="Z245" i="7"/>
  <c r="AB245" i="7" s="1"/>
  <c r="AA113" i="7"/>
  <c r="AB236" i="7"/>
  <c r="AA93" i="7"/>
  <c r="AB93" i="7" s="1"/>
  <c r="AA157" i="7"/>
  <c r="AB157" i="7" s="1"/>
  <c r="Z246" i="7"/>
  <c r="AB246" i="7" s="1"/>
  <c r="AA80" i="7"/>
  <c r="AA144" i="7"/>
  <c r="AA155" i="7"/>
  <c r="Z247" i="7"/>
  <c r="AB247" i="7" s="1"/>
  <c r="AA86" i="7"/>
  <c r="AB86" i="7" s="1"/>
  <c r="AA77" i="7"/>
  <c r="AB77" i="7" s="1"/>
  <c r="AA127" i="7"/>
  <c r="AB127" i="7" s="1"/>
  <c r="AA132" i="7"/>
  <c r="AB132" i="7" s="1"/>
  <c r="AA116" i="7"/>
  <c r="AB116" i="7" s="1"/>
  <c r="AB242" i="7"/>
  <c r="AA242" i="7"/>
  <c r="Z237" i="7"/>
  <c r="AA241" i="7"/>
  <c r="AB241" i="7" s="1"/>
  <c r="Z239" i="7"/>
  <c r="AB239" i="7" s="1"/>
  <c r="Z238" i="7"/>
  <c r="AB238" i="7" s="1"/>
  <c r="AA87" i="7"/>
  <c r="AB87" i="7" s="1"/>
  <c r="AA115" i="7"/>
  <c r="AA96" i="7"/>
  <c r="AB96" i="7" s="1"/>
  <c r="AA151" i="7"/>
  <c r="AA109" i="7"/>
  <c r="AA88" i="7"/>
  <c r="AB88" i="7" s="1"/>
  <c r="AA160" i="7"/>
  <c r="AB160" i="7" s="1"/>
  <c r="AA110" i="7"/>
  <c r="AB110" i="7" s="1"/>
  <c r="Z235" i="7"/>
  <c r="AB235" i="7" s="1"/>
  <c r="Z240" i="7"/>
  <c r="AB240" i="7" s="1"/>
  <c r="AA168" i="7"/>
  <c r="AB168" i="7" s="1"/>
  <c r="AA91" i="7"/>
  <c r="AB91" i="7" s="1"/>
  <c r="AA145" i="7"/>
  <c r="AB145" i="7" s="1"/>
  <c r="AA186" i="7"/>
  <c r="AB186" i="7" s="1"/>
  <c r="AA84" i="7"/>
  <c r="AB84" i="7" s="1"/>
  <c r="AA148" i="7"/>
  <c r="AB148" i="7" s="1"/>
  <c r="AB237" i="7"/>
  <c r="AA226" i="7"/>
  <c r="AB226" i="7" s="1"/>
  <c r="AA214" i="7"/>
  <c r="AB214" i="7" s="1"/>
  <c r="AA218" i="7"/>
  <c r="AB218" i="7" s="1"/>
  <c r="AA154" i="7"/>
  <c r="AB154" i="7" s="1"/>
  <c r="AA178" i="7"/>
  <c r="AB178" i="7" s="1"/>
  <c r="AA211" i="7"/>
  <c r="AA225" i="7"/>
  <c r="AB225" i="7" s="1"/>
  <c r="AA90" i="7"/>
  <c r="AB90" i="7" s="1"/>
  <c r="AA196" i="7"/>
  <c r="AB196" i="7" s="1"/>
  <c r="AA224" i="7"/>
  <c r="AB224" i="7" s="1"/>
  <c r="AA101" i="7"/>
  <c r="AB101" i="7" s="1"/>
  <c r="AA207" i="7"/>
  <c r="AB207" i="7" s="1"/>
  <c r="AA216" i="7"/>
  <c r="AB216" i="7" s="1"/>
  <c r="AA102" i="7"/>
  <c r="AA165" i="7"/>
  <c r="AB165" i="7" s="1"/>
  <c r="AA200" i="7"/>
  <c r="AB200" i="7" s="1"/>
  <c r="AA228" i="7"/>
  <c r="AB228" i="7" s="1"/>
  <c r="AA175" i="7"/>
  <c r="AB175" i="7" s="1"/>
  <c r="AA212" i="7"/>
  <c r="AB212" i="7" s="1"/>
  <c r="AA176" i="7"/>
  <c r="AB176" i="7" s="1"/>
  <c r="AA188" i="7"/>
  <c r="AB188" i="7" s="1"/>
  <c r="AA192" i="7"/>
  <c r="AA210" i="7"/>
  <c r="AB210" i="7" s="1"/>
  <c r="AA184" i="7"/>
  <c r="AB184" i="7" s="1"/>
  <c r="AA209" i="7"/>
  <c r="AB209" i="7" s="1"/>
  <c r="AA208" i="7"/>
  <c r="AB208" i="7" s="1"/>
  <c r="AA221" i="7"/>
  <c r="AB221" i="7" s="1"/>
  <c r="AA170" i="7"/>
  <c r="AB170" i="7" s="1"/>
  <c r="AA104" i="7"/>
  <c r="AB104" i="7" s="1"/>
  <c r="AA89" i="7"/>
  <c r="AA97" i="7"/>
  <c r="AB97" i="7" s="1"/>
  <c r="AA108" i="7"/>
  <c r="AB108" i="7" s="1"/>
  <c r="AA153" i="7"/>
  <c r="AB153" i="7" s="1"/>
  <c r="AA118" i="7"/>
  <c r="AB118" i="7" s="1"/>
  <c r="AB141" i="7"/>
  <c r="AB166" i="7"/>
  <c r="AB78" i="7"/>
  <c r="AB113" i="7"/>
  <c r="AB130" i="7"/>
  <c r="AA204" i="7"/>
  <c r="AB204" i="7" s="1"/>
  <c r="AA230" i="7"/>
  <c r="AB230" i="7" s="1"/>
  <c r="AA180" i="7"/>
  <c r="AB180" i="7" s="1"/>
  <c r="AA199" i="7"/>
  <c r="AB199" i="7" s="1"/>
  <c r="AA203" i="7"/>
  <c r="AB203" i="7" s="1"/>
  <c r="AA222" i="7"/>
  <c r="AB222" i="7" s="1"/>
  <c r="AA202" i="7"/>
  <c r="AB202" i="7" s="1"/>
  <c r="AA201" i="7"/>
  <c r="AB201" i="7" s="1"/>
  <c r="AA190" i="7"/>
  <c r="AB190" i="7" s="1"/>
  <c r="AA161" i="7"/>
  <c r="AB161" i="7" s="1"/>
  <c r="AA111" i="7"/>
  <c r="AB124" i="7"/>
  <c r="AB136" i="7"/>
  <c r="AB121" i="7"/>
  <c r="AB138" i="7"/>
  <c r="AA197" i="7"/>
  <c r="AB197" i="7" s="1"/>
  <c r="AA174" i="7"/>
  <c r="AB174" i="7" s="1"/>
  <c r="AA172" i="7"/>
  <c r="AB172" i="7" s="1"/>
  <c r="AA167" i="7"/>
  <c r="AB167" i="7" s="1"/>
  <c r="AA195" i="7"/>
  <c r="AB195" i="7" s="1"/>
  <c r="AA206" i="7"/>
  <c r="AB206" i="7" s="1"/>
  <c r="AA194" i="7"/>
  <c r="AB194" i="7" s="1"/>
  <c r="AA193" i="7"/>
  <c r="AB193" i="7" s="1"/>
  <c r="AA191" i="7"/>
  <c r="AB191" i="7" s="1"/>
  <c r="AB89" i="7"/>
  <c r="AA217" i="7"/>
  <c r="AB217" i="7" s="1"/>
  <c r="AB115" i="7"/>
  <c r="AA142" i="7"/>
  <c r="AB142" i="7" s="1"/>
  <c r="AA99" i="7"/>
  <c r="AB99" i="7" s="1"/>
  <c r="AA112" i="7"/>
  <c r="AB112" i="7" s="1"/>
  <c r="AB94" i="7"/>
  <c r="AB135" i="7"/>
  <c r="AB80" i="7"/>
  <c r="AB144" i="7"/>
  <c r="AB129" i="7"/>
  <c r="AB139" i="7"/>
  <c r="AA189" i="7"/>
  <c r="AB189" i="7" s="1"/>
  <c r="AA231" i="7"/>
  <c r="AB231" i="7" s="1"/>
  <c r="AA198" i="7"/>
  <c r="AB198" i="7" s="1"/>
  <c r="AA187" i="7"/>
  <c r="AB187" i="7" s="1"/>
  <c r="AA183" i="7"/>
  <c r="AB183" i="7" s="1"/>
  <c r="AA185" i="7"/>
  <c r="AB185" i="7" s="1"/>
  <c r="AA229" i="7"/>
  <c r="AB229" i="7" s="1"/>
  <c r="AA95" i="7"/>
  <c r="AB95" i="7" s="1"/>
  <c r="AB150" i="7"/>
  <c r="AB126" i="7"/>
  <c r="R2" i="16"/>
  <c r="AA220" i="7"/>
  <c r="AB220" i="7" s="1"/>
  <c r="AB158" i="7"/>
  <c r="AA92" i="7"/>
  <c r="AB92" i="7" s="1"/>
  <c r="AA100" i="7"/>
  <c r="AB100" i="7" s="1"/>
  <c r="AA122" i="7"/>
  <c r="AB122" i="7" s="1"/>
  <c r="AA133" i="7"/>
  <c r="AB133" i="7" s="1"/>
  <c r="AA156" i="7"/>
  <c r="AB156" i="7" s="1"/>
  <c r="AA163" i="7"/>
  <c r="AB163" i="7" s="1"/>
  <c r="AB102" i="7"/>
  <c r="AA181" i="7"/>
  <c r="AB181" i="7" s="1"/>
  <c r="AA227" i="7"/>
  <c r="AB227" i="7" s="1"/>
  <c r="AA223" i="7"/>
  <c r="AB223" i="7" s="1"/>
  <c r="AA179" i="7"/>
  <c r="AB179" i="7" s="1"/>
  <c r="AA213" i="7"/>
  <c r="AB213" i="7" s="1"/>
  <c r="AA177" i="7"/>
  <c r="AB177" i="7" s="1"/>
  <c r="AA205" i="7"/>
  <c r="AB205" i="7" s="1"/>
  <c r="AB103" i="7"/>
  <c r="AA159" i="7"/>
  <c r="AB159" i="7" s="1"/>
  <c r="AA117" i="7"/>
  <c r="AB117" i="7" s="1"/>
  <c r="AB211" i="7"/>
  <c r="AB111" i="7"/>
  <c r="AB192" i="7"/>
  <c r="AA120" i="7"/>
  <c r="AB120" i="7" s="1"/>
  <c r="AA147" i="7"/>
  <c r="AB147" i="7" s="1"/>
  <c r="AA164" i="7"/>
  <c r="AB164" i="7" s="1"/>
  <c r="AA114" i="7"/>
  <c r="AB114" i="7" s="1"/>
  <c r="AB109" i="7"/>
  <c r="AB151" i="7"/>
  <c r="AB81" i="7"/>
  <c r="AB98" i="7"/>
  <c r="AB162" i="7"/>
  <c r="AB155" i="7"/>
  <c r="AA173" i="7"/>
  <c r="AB173" i="7" s="1"/>
  <c r="AA219" i="7"/>
  <c r="AB219" i="7" s="1"/>
  <c r="AA215" i="7"/>
  <c r="AB215" i="7" s="1"/>
  <c r="AA234" i="7"/>
  <c r="AB234" i="7" s="1"/>
  <c r="AA171" i="7"/>
  <c r="AB171" i="7" s="1"/>
  <c r="AA233" i="7"/>
  <c r="AB233" i="7" s="1"/>
  <c r="AA232" i="7"/>
  <c r="AB232" i="7" s="1"/>
  <c r="AA169" i="7"/>
  <c r="AB169" i="7" s="1"/>
  <c r="AA182" i="7"/>
  <c r="AB182" i="7" s="1"/>
  <c r="AW158" i="7"/>
  <c r="AX158" i="7" s="1"/>
  <c r="AY158" i="7" s="1"/>
  <c r="AW77" i="7"/>
  <c r="AX77" i="7" s="1"/>
  <c r="AY77" i="7" s="1"/>
  <c r="AW88" i="7"/>
  <c r="AX88" i="7" s="1"/>
  <c r="AY88" i="7" s="1"/>
  <c r="AW96" i="7"/>
  <c r="AX96" i="7" s="1"/>
  <c r="AY96" i="7" s="1"/>
  <c r="AW104" i="7"/>
  <c r="AX104" i="7" s="1"/>
  <c r="AY104" i="7" s="1"/>
  <c r="AW127" i="7"/>
  <c r="AX127" i="7" s="1"/>
  <c r="AY127" i="7" s="1"/>
  <c r="AW139" i="7"/>
  <c r="AX139" i="7" s="1"/>
  <c r="AY139" i="7" s="1"/>
  <c r="AW151" i="7"/>
  <c r="AW159" i="7"/>
  <c r="AX159" i="7" s="1"/>
  <c r="AY159" i="7" s="1"/>
  <c r="AW109" i="7"/>
  <c r="AX109" i="7" s="1"/>
  <c r="AY109" i="7" s="1"/>
  <c r="AW117" i="7"/>
  <c r="AX117" i="7" s="1"/>
  <c r="AY117" i="7" s="1"/>
  <c r="AW136" i="7"/>
  <c r="AX136" i="7" s="1"/>
  <c r="AY136" i="7" s="1"/>
  <c r="AW95" i="7"/>
  <c r="AX95" i="7" s="1"/>
  <c r="AY95" i="7" s="1"/>
  <c r="AW150" i="7"/>
  <c r="AX150" i="7" s="1"/>
  <c r="AY150" i="7" s="1"/>
  <c r="AW78" i="7"/>
  <c r="AX78" i="7" s="1"/>
  <c r="AY78" i="7" s="1"/>
  <c r="AW97" i="7"/>
  <c r="AX97" i="7" s="1"/>
  <c r="AY97" i="7" s="1"/>
  <c r="AW108" i="7"/>
  <c r="AX108" i="7" s="1"/>
  <c r="AY108" i="7" s="1"/>
  <c r="AW141" i="7"/>
  <c r="AX141" i="7" s="1"/>
  <c r="AY141" i="7" s="1"/>
  <c r="AW160" i="7"/>
  <c r="AX160" i="7" s="1"/>
  <c r="AY160" i="7" s="1"/>
  <c r="AW110" i="7"/>
  <c r="AX110" i="7" s="1"/>
  <c r="AY110" i="7" s="1"/>
  <c r="AW118" i="7"/>
  <c r="AX118" i="7" s="1"/>
  <c r="AY118" i="7" s="1"/>
  <c r="AW165" i="7"/>
  <c r="AX165" i="7" s="1"/>
  <c r="AY165" i="7" s="1"/>
  <c r="AW166" i="7"/>
  <c r="AX166" i="7" s="1"/>
  <c r="AY166" i="7" s="1"/>
  <c r="AW89" i="7"/>
  <c r="AX89" i="7" s="1"/>
  <c r="AY89" i="7" s="1"/>
  <c r="AW129" i="7"/>
  <c r="AX129" i="7" s="1"/>
  <c r="AY129" i="7" s="1"/>
  <c r="AW153" i="7"/>
  <c r="AX153" i="7" s="1"/>
  <c r="AY153" i="7" s="1"/>
  <c r="AW80" i="7"/>
  <c r="AX80" i="7" s="1"/>
  <c r="AY80" i="7" s="1"/>
  <c r="AW90" i="7"/>
  <c r="AX90" i="7" s="1"/>
  <c r="AY90" i="7" s="1"/>
  <c r="AW98" i="7"/>
  <c r="AX98" i="7" s="1"/>
  <c r="AY98" i="7" s="1"/>
  <c r="AW120" i="7"/>
  <c r="AX120" i="7" s="1"/>
  <c r="AY120" i="7" s="1"/>
  <c r="AW130" i="7"/>
  <c r="AX130" i="7" s="1"/>
  <c r="AY130" i="7" s="1"/>
  <c r="AW142" i="7"/>
  <c r="AX142" i="7" s="1"/>
  <c r="AY142" i="7" s="1"/>
  <c r="AW154" i="7"/>
  <c r="AX154" i="7" s="1"/>
  <c r="AY154" i="7" s="1"/>
  <c r="AW161" i="7"/>
  <c r="AX161" i="7" s="1"/>
  <c r="AY161" i="7" s="1"/>
  <c r="AW111" i="7"/>
  <c r="AX111" i="7" s="1"/>
  <c r="AY111" i="7" s="1"/>
  <c r="AW86" i="7"/>
  <c r="AX86" i="7" s="1"/>
  <c r="AY86" i="7" s="1"/>
  <c r="AW94" i="7"/>
  <c r="AX94" i="7" s="1"/>
  <c r="AY94" i="7" s="1"/>
  <c r="AW148" i="7"/>
  <c r="AX148" i="7" s="1"/>
  <c r="AY148" i="7" s="1"/>
  <c r="AW115" i="7"/>
  <c r="AX115" i="7" s="1"/>
  <c r="AY115" i="7" s="1"/>
  <c r="AW103" i="7"/>
  <c r="AX103" i="7" s="1"/>
  <c r="AY103" i="7" s="1"/>
  <c r="AW138" i="7"/>
  <c r="AX138" i="7" s="1"/>
  <c r="AY138" i="7" s="1"/>
  <c r="AW81" i="7"/>
  <c r="AX81" i="7" s="1"/>
  <c r="AY81" i="7" s="1"/>
  <c r="AW121" i="7"/>
  <c r="AX121" i="7" s="1"/>
  <c r="AY121" i="7" s="1"/>
  <c r="AW132" i="7"/>
  <c r="AX132" i="7" s="1"/>
  <c r="AY132" i="7" s="1"/>
  <c r="AW144" i="7"/>
  <c r="AX144" i="7" s="1"/>
  <c r="AY144" i="7" s="1"/>
  <c r="AW155" i="7"/>
  <c r="AX155" i="7" s="1"/>
  <c r="AY155" i="7" s="1"/>
  <c r="AW162" i="7"/>
  <c r="AX162" i="7" s="1"/>
  <c r="AY162" i="7" s="1"/>
  <c r="AW112" i="7"/>
  <c r="AX112" i="7" s="1"/>
  <c r="AY112" i="7" s="1"/>
  <c r="AW124" i="7"/>
  <c r="AX124" i="7" s="1"/>
  <c r="AY124" i="7" s="1"/>
  <c r="AW116" i="7"/>
  <c r="AX116" i="7" s="1"/>
  <c r="AY116" i="7" s="1"/>
  <c r="AW99" i="7"/>
  <c r="AX99" i="7" s="1"/>
  <c r="AY99" i="7" s="1"/>
  <c r="AW100" i="7"/>
  <c r="AX100" i="7" s="1"/>
  <c r="AY100" i="7" s="1"/>
  <c r="AW133" i="7"/>
  <c r="AX133" i="7" s="1"/>
  <c r="AY133" i="7" s="1"/>
  <c r="AW145" i="7"/>
  <c r="AX145" i="7" s="1"/>
  <c r="AY145" i="7" s="1"/>
  <c r="AW102" i="7"/>
  <c r="AX102" i="7" s="1"/>
  <c r="AY102" i="7" s="1"/>
  <c r="AW87" i="7"/>
  <c r="AX87" i="7" s="1"/>
  <c r="AY87" i="7" s="1"/>
  <c r="AW126" i="7"/>
  <c r="AX126" i="7" s="1"/>
  <c r="AY126" i="7" s="1"/>
  <c r="AW91" i="7"/>
  <c r="AX91" i="7" s="1"/>
  <c r="AY91" i="7" s="1"/>
  <c r="AW83" i="7"/>
  <c r="AX83" i="7" s="1"/>
  <c r="AY83" i="7" s="1"/>
  <c r="AW92" i="7"/>
  <c r="AX92" i="7" s="1"/>
  <c r="AY92" i="7" s="1"/>
  <c r="AW122" i="7"/>
  <c r="AX122" i="7" s="1"/>
  <c r="AY122" i="7" s="1"/>
  <c r="AW156" i="7"/>
  <c r="AX156" i="7" s="1"/>
  <c r="AY156" i="7" s="1"/>
  <c r="AW163" i="7"/>
  <c r="AX163" i="7" s="1"/>
  <c r="AY163" i="7" s="1"/>
  <c r="AW113" i="7"/>
  <c r="AX113" i="7" s="1"/>
  <c r="AY113" i="7" s="1"/>
  <c r="AW84" i="7"/>
  <c r="AX84" i="7" s="1"/>
  <c r="AY84" i="7" s="1"/>
  <c r="AW93" i="7"/>
  <c r="AX93" i="7" s="1"/>
  <c r="AY93" i="7" s="1"/>
  <c r="AW101" i="7"/>
  <c r="AX101" i="7" s="1"/>
  <c r="AY101" i="7" s="1"/>
  <c r="AW123" i="7"/>
  <c r="AX123" i="7" s="1"/>
  <c r="AY123" i="7" s="1"/>
  <c r="AW135" i="7"/>
  <c r="AX135" i="7" s="1"/>
  <c r="AY135" i="7" s="1"/>
  <c r="AW147" i="7"/>
  <c r="AX147" i="7" s="1"/>
  <c r="AY147" i="7" s="1"/>
  <c r="AW157" i="7"/>
  <c r="AX157" i="7" s="1"/>
  <c r="AY157" i="7" s="1"/>
  <c r="AW164" i="7"/>
  <c r="AX164" i="7" s="1"/>
  <c r="AY164" i="7" s="1"/>
  <c r="AW114" i="7"/>
  <c r="AX114" i="7" s="1"/>
  <c r="AY114" i="7" s="1"/>
  <c r="R3" i="16"/>
  <c r="AT115" i="7"/>
  <c r="AU115" i="7" s="1"/>
  <c r="AT117" i="7"/>
  <c r="AU117" i="7" s="1"/>
  <c r="AL109" i="7"/>
  <c r="AM109" i="7" s="1"/>
  <c r="AL156" i="7"/>
  <c r="AM156" i="7" s="1"/>
  <c r="AL118" i="7"/>
  <c r="AM118" i="7" s="1"/>
  <c r="AG114" i="7"/>
  <c r="AH114" i="7" s="1"/>
  <c r="AG118" i="7"/>
  <c r="AH118" i="7" s="1"/>
  <c r="AT118" i="7"/>
  <c r="AU118" i="7" s="1"/>
  <c r="AT121" i="7"/>
  <c r="AU121" i="7" s="1"/>
  <c r="AL138" i="7"/>
  <c r="AM138" i="7" s="1"/>
  <c r="AL123" i="7"/>
  <c r="AM123" i="7" s="1"/>
  <c r="AL127" i="7"/>
  <c r="AM127" i="7" s="1"/>
  <c r="AL120" i="7"/>
  <c r="AM120" i="7" s="1"/>
  <c r="AL135" i="7"/>
  <c r="AM135" i="7" s="1"/>
  <c r="AT124" i="7"/>
  <c r="AU124" i="7" s="1"/>
  <c r="AL130" i="7"/>
  <c r="AM130" i="7" s="1"/>
  <c r="AT148" i="7"/>
  <c r="AU148" i="7" s="1"/>
  <c r="AL142" i="7"/>
  <c r="AM142" i="7" s="1"/>
  <c r="AL150" i="7"/>
  <c r="AM150" i="7" s="1"/>
  <c r="AL141" i="7"/>
  <c r="AM141" i="7" s="1"/>
  <c r="AL117" i="7"/>
  <c r="AM117" i="7" s="1"/>
  <c r="AL124" i="7"/>
  <c r="AM124" i="7" s="1"/>
  <c r="AL144" i="7"/>
  <c r="AM144" i="7" s="1"/>
  <c r="AL166" i="7"/>
  <c r="AM166" i="7" s="1"/>
  <c r="AL132" i="7"/>
  <c r="AM132" i="7" s="1"/>
  <c r="AT155" i="7"/>
  <c r="AU155" i="7" s="1"/>
  <c r="AT111" i="7"/>
  <c r="AU111" i="7" s="1"/>
  <c r="AG147" i="7"/>
  <c r="AH147" i="7" s="1"/>
  <c r="AT147" i="7"/>
  <c r="AU147" i="7" s="1"/>
  <c r="AT113" i="7"/>
  <c r="AU113" i="7" s="1"/>
  <c r="AT154" i="7"/>
  <c r="AU154" i="7" s="1"/>
  <c r="AT110" i="7"/>
  <c r="AU110" i="7" s="1"/>
  <c r="AT122" i="7"/>
  <c r="AU122" i="7" s="1"/>
  <c r="AG122" i="7"/>
  <c r="AH122" i="7" s="1"/>
  <c r="AT159" i="7"/>
  <c r="AU159" i="7" s="1"/>
  <c r="AG112" i="7"/>
  <c r="AH112" i="7" s="1"/>
  <c r="AT104" i="7"/>
  <c r="AU104" i="7" s="1"/>
  <c r="AG151" i="7"/>
  <c r="AH151" i="7" s="1"/>
  <c r="AT151" i="7"/>
  <c r="AU151" i="7" s="1"/>
  <c r="AT163" i="7"/>
  <c r="AU163" i="7" s="1"/>
  <c r="AT157" i="7"/>
  <c r="AU157" i="7" s="1"/>
  <c r="AT142" i="7"/>
  <c r="AU142" i="7" s="1"/>
  <c r="AG110" i="7"/>
  <c r="AH110" i="7" s="1"/>
  <c r="AT162" i="7"/>
  <c r="AU162" i="7" s="1"/>
  <c r="AT164" i="7"/>
  <c r="AU164" i="7" s="1"/>
  <c r="AL126" i="7"/>
  <c r="AM126" i="7" s="1"/>
  <c r="AT136" i="7"/>
  <c r="AU136" i="7" s="1"/>
  <c r="AT141" i="7"/>
  <c r="AU141" i="7" s="1"/>
  <c r="AL151" i="7"/>
  <c r="AM151" i="7" s="1"/>
  <c r="AL155" i="7"/>
  <c r="AM155" i="7" s="1"/>
  <c r="AL164" i="7"/>
  <c r="AM164" i="7" s="1"/>
  <c r="AL112" i="7"/>
  <c r="AM112" i="7" s="1"/>
  <c r="AL115" i="7"/>
  <c r="AM115" i="7" s="1"/>
  <c r="AT123" i="7"/>
  <c r="AU123" i="7" s="1"/>
  <c r="AL129" i="7"/>
  <c r="AM129" i="7" s="1"/>
  <c r="AL133" i="7"/>
  <c r="AM133" i="7" s="1"/>
  <c r="AL147" i="7"/>
  <c r="AM147" i="7" s="1"/>
  <c r="AL154" i="7"/>
  <c r="AM154" i="7" s="1"/>
  <c r="AT165" i="7"/>
  <c r="AU165" i="7" s="1"/>
  <c r="AL111" i="7"/>
  <c r="AM111" i="7" s="1"/>
  <c r="AG116" i="7"/>
  <c r="AH116" i="7" s="1"/>
  <c r="AL101" i="7"/>
  <c r="AM101" i="7" s="1"/>
  <c r="AL121" i="7"/>
  <c r="AM121" i="7" s="1"/>
  <c r="AT126" i="7"/>
  <c r="AU126" i="7" s="1"/>
  <c r="AT130" i="7"/>
  <c r="AU130" i="7" s="1"/>
  <c r="AT135" i="7"/>
  <c r="AU135" i="7" s="1"/>
  <c r="AT139" i="7"/>
  <c r="AU139" i="7" s="1"/>
  <c r="AL145" i="7"/>
  <c r="AM145" i="7" s="1"/>
  <c r="AL157" i="7"/>
  <c r="AM157" i="7" s="1"/>
  <c r="AL160" i="7"/>
  <c r="AM160" i="7" s="1"/>
  <c r="AG109" i="7"/>
  <c r="AH109" i="7" s="1"/>
  <c r="AL114" i="7"/>
  <c r="AM114" i="7" s="1"/>
  <c r="AL136" i="7"/>
  <c r="AM136" i="7" s="1"/>
  <c r="AT161" i="7"/>
  <c r="AU161" i="7" s="1"/>
  <c r="AL162" i="7"/>
  <c r="AM162" i="7" s="1"/>
  <c r="AL110" i="7"/>
  <c r="AM110" i="7" s="1"/>
  <c r="AL113" i="7"/>
  <c r="AM113" i="7" s="1"/>
  <c r="AL139" i="7"/>
  <c r="AM139" i="7" s="1"/>
  <c r="AL153" i="7"/>
  <c r="AM153" i="7" s="1"/>
  <c r="AL159" i="7"/>
  <c r="AM159" i="7" s="1"/>
  <c r="AL116" i="7"/>
  <c r="AM116" i="7" s="1"/>
  <c r="AL148" i="7"/>
  <c r="AM148" i="7" s="1"/>
  <c r="AG162" i="7"/>
  <c r="AH162" i="7" s="1"/>
  <c r="AG159" i="7"/>
  <c r="AH159" i="7" s="1"/>
  <c r="AG157" i="7"/>
  <c r="AH157" i="7" s="1"/>
  <c r="AT112" i="7"/>
  <c r="AU112" i="7" s="1"/>
  <c r="AT114" i="7"/>
  <c r="AU114" i="7" s="1"/>
  <c r="AT116" i="7"/>
  <c r="AU116" i="7" s="1"/>
  <c r="AG111" i="7"/>
  <c r="AH111" i="7" s="1"/>
  <c r="AG113" i="7"/>
  <c r="AH113" i="7" s="1"/>
  <c r="AG115" i="7"/>
  <c r="AH115" i="7" s="1"/>
  <c r="AG117" i="7"/>
  <c r="AH117" i="7" s="1"/>
  <c r="AT109" i="7"/>
  <c r="AU109" i="7" s="1"/>
  <c r="AG124" i="7"/>
  <c r="AH124" i="7" s="1"/>
  <c r="AG153" i="7"/>
  <c r="AH153" i="7" s="1"/>
  <c r="AG160" i="7"/>
  <c r="AH160" i="7" s="1"/>
  <c r="AT129" i="7"/>
  <c r="AU129" i="7" s="1"/>
  <c r="AG133" i="7"/>
  <c r="AH133" i="7" s="1"/>
  <c r="AT133" i="7"/>
  <c r="AU133" i="7" s="1"/>
  <c r="AG145" i="7"/>
  <c r="AH145" i="7" s="1"/>
  <c r="AT145" i="7"/>
  <c r="AU145" i="7" s="1"/>
  <c r="AG156" i="7"/>
  <c r="AH156" i="7" s="1"/>
  <c r="AG166" i="7"/>
  <c r="AH166" i="7" s="1"/>
  <c r="AT166" i="7"/>
  <c r="AU166" i="7" s="1"/>
  <c r="AG164" i="7"/>
  <c r="AH164" i="7" s="1"/>
  <c r="AG141" i="7"/>
  <c r="AH141" i="7" s="1"/>
  <c r="AG139" i="7"/>
  <c r="AH139" i="7" s="1"/>
  <c r="AG135" i="7"/>
  <c r="AH135" i="7" s="1"/>
  <c r="AG129" i="7"/>
  <c r="AH129" i="7" s="1"/>
  <c r="AG130" i="7"/>
  <c r="AH130" i="7" s="1"/>
  <c r="AG123" i="7"/>
  <c r="AH123" i="7" s="1"/>
  <c r="AG121" i="7"/>
  <c r="AH121" i="7" s="1"/>
  <c r="AG158" i="7"/>
  <c r="AH158" i="7" s="1"/>
  <c r="AT153" i="7"/>
  <c r="AU153" i="7" s="1"/>
  <c r="AT156" i="7"/>
  <c r="AU156" i="7" s="1"/>
  <c r="AT158" i="7"/>
  <c r="AU158" i="7" s="1"/>
  <c r="AT160" i="7"/>
  <c r="AU160" i="7" s="1"/>
  <c r="AX151" i="7"/>
  <c r="AY151" i="7" s="1"/>
  <c r="AG120" i="7"/>
  <c r="AH120" i="7" s="1"/>
  <c r="AG127" i="7"/>
  <c r="AH127" i="7" s="1"/>
  <c r="AG132" i="7"/>
  <c r="AH132" i="7" s="1"/>
  <c r="AG144" i="7"/>
  <c r="AH144" i="7" s="1"/>
  <c r="AG150" i="7"/>
  <c r="AH150" i="7" s="1"/>
  <c r="AG161" i="7"/>
  <c r="AH161" i="7" s="1"/>
  <c r="AL161" i="7"/>
  <c r="AM161" i="7" s="1"/>
  <c r="AG163" i="7"/>
  <c r="AH163" i="7" s="1"/>
  <c r="AL163" i="7"/>
  <c r="AM163" i="7" s="1"/>
  <c r="AG165" i="7"/>
  <c r="AH165" i="7" s="1"/>
  <c r="AL165" i="7"/>
  <c r="AM165" i="7" s="1"/>
  <c r="AL122" i="7"/>
  <c r="AM122" i="7" s="1"/>
  <c r="AG138" i="7"/>
  <c r="AH138" i="7" s="1"/>
  <c r="AG155" i="7"/>
  <c r="AH155" i="7" s="1"/>
  <c r="AT120" i="7"/>
  <c r="AU120" i="7" s="1"/>
  <c r="AG126" i="7"/>
  <c r="AH126" i="7" s="1"/>
  <c r="AT127" i="7"/>
  <c r="AU127" i="7" s="1"/>
  <c r="AT132" i="7"/>
  <c r="AU132" i="7" s="1"/>
  <c r="AG136" i="7"/>
  <c r="AH136" i="7" s="1"/>
  <c r="AT138" i="7"/>
  <c r="AU138" i="7" s="1"/>
  <c r="AG142" i="7"/>
  <c r="AH142" i="7" s="1"/>
  <c r="AT144" i="7"/>
  <c r="AU144" i="7" s="1"/>
  <c r="AG148" i="7"/>
  <c r="AH148" i="7" s="1"/>
  <c r="AT150" i="7"/>
  <c r="AU150" i="7" s="1"/>
  <c r="AG154" i="7"/>
  <c r="AH154" i="7" s="1"/>
  <c r="AT89" i="7"/>
  <c r="AU89" i="7" s="1"/>
  <c r="AL93" i="7"/>
  <c r="AM93" i="7" s="1"/>
  <c r="AT91" i="7"/>
  <c r="AU91" i="7" s="1"/>
  <c r="AL92" i="7"/>
  <c r="AM92" i="7" s="1"/>
  <c r="AL96" i="7"/>
  <c r="AM96" i="7" s="1"/>
  <c r="AG102" i="7"/>
  <c r="AH102" i="7" s="1"/>
  <c r="AT102" i="7"/>
  <c r="AU102" i="7" s="1"/>
  <c r="AL86" i="7"/>
  <c r="AM86" i="7" s="1"/>
  <c r="AL94" i="7"/>
  <c r="AM94" i="7" s="1"/>
  <c r="AL80" i="7"/>
  <c r="AM80" i="7" s="1"/>
  <c r="AG86" i="7"/>
  <c r="AH86" i="7" s="1"/>
  <c r="AT86" i="7"/>
  <c r="AU86" i="7" s="1"/>
  <c r="AT98" i="7"/>
  <c r="AU98" i="7" s="1"/>
  <c r="AT108" i="7"/>
  <c r="AU108" i="7" s="1"/>
  <c r="AT95" i="7"/>
  <c r="AU95" i="7" s="1"/>
  <c r="AT88" i="7"/>
  <c r="AU88" i="7" s="1"/>
  <c r="AT92" i="7"/>
  <c r="AU92" i="7" s="1"/>
  <c r="AT96" i="7"/>
  <c r="AU96" i="7" s="1"/>
  <c r="AT100" i="7"/>
  <c r="AU100" i="7" s="1"/>
  <c r="AT93" i="7"/>
  <c r="AU93" i="7" s="1"/>
  <c r="AL88" i="7"/>
  <c r="AM88" i="7" s="1"/>
  <c r="AL81" i="7"/>
  <c r="AM81" i="7" s="1"/>
  <c r="AL83" i="7"/>
  <c r="AM83" i="7" s="1"/>
  <c r="AG92" i="7"/>
  <c r="AH92" i="7" s="1"/>
  <c r="AL77" i="7"/>
  <c r="AM77" i="7" s="1"/>
  <c r="AL87" i="7"/>
  <c r="AM87" i="7" s="1"/>
  <c r="AT87" i="7"/>
  <c r="AU87" i="7" s="1"/>
  <c r="AG89" i="7"/>
  <c r="AH89" i="7" s="1"/>
  <c r="AG90" i="7"/>
  <c r="AH90" i="7" s="1"/>
  <c r="AL90" i="7"/>
  <c r="AM90" i="7" s="1"/>
  <c r="AT90" i="7"/>
  <c r="AU90" i="7" s="1"/>
  <c r="AL108" i="7"/>
  <c r="AM108" i="7" s="1"/>
  <c r="AG97" i="7"/>
  <c r="AH97" i="7" s="1"/>
  <c r="AL97" i="7"/>
  <c r="AM97" i="7" s="1"/>
  <c r="AT97" i="7"/>
  <c r="AU97" i="7" s="1"/>
  <c r="AL99" i="7"/>
  <c r="AM99" i="7" s="1"/>
  <c r="AT99" i="7"/>
  <c r="AU99" i="7" s="1"/>
  <c r="AL100" i="7"/>
  <c r="AM100" i="7" s="1"/>
  <c r="AL103" i="7"/>
  <c r="AM103" i="7" s="1"/>
  <c r="AT103" i="7"/>
  <c r="AU103" i="7" s="1"/>
  <c r="AG95" i="7"/>
  <c r="AH95" i="7" s="1"/>
  <c r="AL95" i="7"/>
  <c r="AM95" i="7" s="1"/>
  <c r="AG100" i="7"/>
  <c r="AH100" i="7" s="1"/>
  <c r="AG101" i="7"/>
  <c r="AH101" i="7" s="1"/>
  <c r="AG104" i="7"/>
  <c r="AH104" i="7" s="1"/>
  <c r="AL104" i="7"/>
  <c r="AM104" i="7" s="1"/>
  <c r="AL78" i="7"/>
  <c r="AM78" i="7" s="1"/>
  <c r="AG87" i="7"/>
  <c r="AH87" i="7" s="1"/>
  <c r="AG88" i="7"/>
  <c r="AH88" i="7" s="1"/>
  <c r="AL89" i="7"/>
  <c r="AM89" i="7" s="1"/>
  <c r="AL91" i="7"/>
  <c r="AM91" i="7" s="1"/>
  <c r="AG94" i="7"/>
  <c r="AH94" i="7" s="1"/>
  <c r="AL84" i="7"/>
  <c r="AM84" i="7" s="1"/>
  <c r="AT94" i="7"/>
  <c r="AU94" i="7" s="1"/>
  <c r="AG96" i="7"/>
  <c r="AH96" i="7" s="1"/>
  <c r="AT101" i="7"/>
  <c r="AU101" i="7" s="1"/>
  <c r="AL102" i="7"/>
  <c r="AM102" i="7" s="1"/>
  <c r="AG98" i="7"/>
  <c r="AH98" i="7" s="1"/>
  <c r="AL98" i="7"/>
  <c r="AM98" i="7" s="1"/>
  <c r="AG99" i="7"/>
  <c r="AH99" i="7" s="1"/>
  <c r="AG103" i="7"/>
  <c r="AH103" i="7" s="1"/>
  <c r="AG108" i="7"/>
  <c r="AH108" i="7" s="1"/>
  <c r="AG93" i="7"/>
  <c r="AH93" i="7" s="1"/>
  <c r="AG91" i="7"/>
  <c r="AH91" i="7" s="1"/>
  <c r="AT84" i="7"/>
  <c r="AU84" i="7" s="1"/>
  <c r="AT81" i="7"/>
  <c r="AU81" i="7" s="1"/>
  <c r="AG83" i="7"/>
  <c r="AH83" i="7" s="1"/>
  <c r="AT77" i="7"/>
  <c r="AU77" i="7" s="1"/>
  <c r="AT80" i="7"/>
  <c r="AU80" i="7" s="1"/>
  <c r="AT83" i="7"/>
  <c r="AU83" i="7" s="1"/>
  <c r="AT78" i="7"/>
  <c r="AU78" i="7" s="1"/>
  <c r="AG80" i="7"/>
  <c r="AH80" i="7" s="1"/>
  <c r="AG84" i="7"/>
  <c r="AH84" i="7" s="1"/>
  <c r="AG81" i="7"/>
  <c r="AH81" i="7" s="1"/>
  <c r="AG78" i="7"/>
  <c r="AH78" i="7" s="1"/>
  <c r="AG77" i="7"/>
  <c r="AH77" i="7" s="1"/>
  <c r="AV74" i="7"/>
  <c r="AS74" i="7"/>
  <c r="AR74" i="7"/>
  <c r="AP74" i="7"/>
  <c r="AN74" i="7"/>
  <c r="AF74" i="7"/>
  <c r="AE74" i="7"/>
  <c r="AD74" i="7"/>
  <c r="Y74" i="7"/>
  <c r="AA74" i="7" s="1"/>
  <c r="AB74" i="7" s="1"/>
  <c r="AV73" i="7"/>
  <c r="AS73" i="7"/>
  <c r="AR73" i="7"/>
  <c r="AP73" i="7"/>
  <c r="AN73" i="7"/>
  <c r="AF73" i="7"/>
  <c r="AE73" i="7"/>
  <c r="AD73" i="7"/>
  <c r="Y73" i="7"/>
  <c r="AA73" i="7" s="1"/>
  <c r="AB73" i="7" s="1"/>
  <c r="AV71" i="7"/>
  <c r="AS71" i="7"/>
  <c r="AR71" i="7"/>
  <c r="AP71" i="7"/>
  <c r="AN71" i="7"/>
  <c r="AF71" i="7"/>
  <c r="AE71" i="7"/>
  <c r="AD71" i="7"/>
  <c r="Y71" i="7"/>
  <c r="AA71" i="7" s="1"/>
  <c r="AB71" i="7" s="1"/>
  <c r="AV70" i="7"/>
  <c r="AS70" i="7"/>
  <c r="AR70" i="7"/>
  <c r="AP70" i="7"/>
  <c r="AN70" i="7"/>
  <c r="AF70" i="7"/>
  <c r="AE70" i="7"/>
  <c r="AD70" i="7"/>
  <c r="Y70" i="7"/>
  <c r="AA70" i="7" s="1"/>
  <c r="AB70" i="7" s="1"/>
  <c r="AV68" i="7"/>
  <c r="AS68" i="7"/>
  <c r="AR68" i="7"/>
  <c r="AP68" i="7"/>
  <c r="AN68" i="7"/>
  <c r="AF68" i="7"/>
  <c r="AE68" i="7"/>
  <c r="AD68" i="7"/>
  <c r="Y68" i="7"/>
  <c r="AA68" i="7" s="1"/>
  <c r="AB68" i="7" s="1"/>
  <c r="AV67" i="7"/>
  <c r="AS67" i="7"/>
  <c r="AR67" i="7"/>
  <c r="AP67" i="7"/>
  <c r="AN67" i="7"/>
  <c r="AF67" i="7"/>
  <c r="AE67" i="7"/>
  <c r="AD67" i="7"/>
  <c r="Y67" i="7"/>
  <c r="AA67" i="7" s="1"/>
  <c r="AB67" i="7" s="1"/>
  <c r="R4" i="16" l="1"/>
  <c r="AW74" i="7"/>
  <c r="AW68" i="7"/>
  <c r="AW70" i="7"/>
  <c r="AX70" i="7" s="1"/>
  <c r="AY70" i="7" s="1"/>
  <c r="AW67" i="7"/>
  <c r="AX67" i="7" s="1"/>
  <c r="AY67" i="7" s="1"/>
  <c r="AW71" i="7"/>
  <c r="AW73" i="7"/>
  <c r="AX73" i="7" s="1"/>
  <c r="AY73" i="7" s="1"/>
  <c r="AT71" i="7"/>
  <c r="AU71" i="7" s="1"/>
  <c r="AT73" i="7"/>
  <c r="AU73" i="7" s="1"/>
  <c r="AL74" i="7"/>
  <c r="AM74" i="7" s="1"/>
  <c r="AT68" i="7"/>
  <c r="AU68" i="7" s="1"/>
  <c r="AL70" i="7"/>
  <c r="AM70" i="7" s="1"/>
  <c r="AT74" i="7"/>
  <c r="AU74" i="7" s="1"/>
  <c r="AT70" i="7"/>
  <c r="AU70" i="7" s="1"/>
  <c r="AL73" i="7"/>
  <c r="AM73" i="7" s="1"/>
  <c r="AT67" i="7"/>
  <c r="AU67" i="7" s="1"/>
  <c r="AL68" i="7"/>
  <c r="AM68" i="7" s="1"/>
  <c r="AL71" i="7"/>
  <c r="AM71" i="7" s="1"/>
  <c r="AL67" i="7"/>
  <c r="AM67" i="7" s="1"/>
  <c r="AG73" i="7"/>
  <c r="AH73" i="7" s="1"/>
  <c r="AG74" i="7"/>
  <c r="AH74" i="7" s="1"/>
  <c r="AX74" i="7"/>
  <c r="AY74" i="7" s="1"/>
  <c r="AG70" i="7"/>
  <c r="AH70" i="7" s="1"/>
  <c r="AG71" i="7"/>
  <c r="AH71" i="7" s="1"/>
  <c r="AX71" i="7"/>
  <c r="AY71" i="7" s="1"/>
  <c r="AG67" i="7"/>
  <c r="AH67" i="7" s="1"/>
  <c r="AG68" i="7"/>
  <c r="AH68" i="7" s="1"/>
  <c r="AX68" i="7"/>
  <c r="AY68" i="7" s="1"/>
  <c r="AV64" i="7"/>
  <c r="AS64" i="7"/>
  <c r="AR64" i="7"/>
  <c r="AP64" i="7"/>
  <c r="AN64" i="7"/>
  <c r="AF64" i="7"/>
  <c r="AE64" i="7"/>
  <c r="AD64" i="7"/>
  <c r="Y64" i="7"/>
  <c r="AA64" i="7" s="1"/>
  <c r="AB64" i="7" s="1"/>
  <c r="AV63" i="7"/>
  <c r="AS63" i="7"/>
  <c r="AR63" i="7"/>
  <c r="AP63" i="7"/>
  <c r="AN63" i="7"/>
  <c r="AF63" i="7"/>
  <c r="AE63" i="7"/>
  <c r="AD63" i="7"/>
  <c r="Y63" i="7"/>
  <c r="AA63" i="7" s="1"/>
  <c r="AB63" i="7" s="1"/>
  <c r="AV61" i="7"/>
  <c r="AS61" i="7"/>
  <c r="AR61" i="7"/>
  <c r="AP61" i="7"/>
  <c r="AN61" i="7"/>
  <c r="AF61" i="7"/>
  <c r="AE61" i="7"/>
  <c r="AD61" i="7"/>
  <c r="Y61" i="7"/>
  <c r="AA61" i="7" s="1"/>
  <c r="AB61" i="7" s="1"/>
  <c r="AV60" i="7"/>
  <c r="AS60" i="7"/>
  <c r="AR60" i="7"/>
  <c r="AP60" i="7"/>
  <c r="AN60" i="7"/>
  <c r="AF60" i="7"/>
  <c r="AE60" i="7"/>
  <c r="AD60" i="7"/>
  <c r="Y60" i="7"/>
  <c r="AA60" i="7" s="1"/>
  <c r="AB60" i="7" s="1"/>
  <c r="AV58" i="7"/>
  <c r="AS58" i="7"/>
  <c r="AR58" i="7"/>
  <c r="AP58" i="7"/>
  <c r="AN58" i="7"/>
  <c r="AF58" i="7"/>
  <c r="AE58" i="7"/>
  <c r="AD58" i="7"/>
  <c r="Y58" i="7"/>
  <c r="AA58" i="7" s="1"/>
  <c r="AB58" i="7" s="1"/>
  <c r="AV57" i="7"/>
  <c r="AS57" i="7"/>
  <c r="AR57" i="7"/>
  <c r="AP57" i="7"/>
  <c r="AN57" i="7"/>
  <c r="AF57" i="7"/>
  <c r="AE57" i="7"/>
  <c r="AD57" i="7"/>
  <c r="Y57" i="7"/>
  <c r="AA57" i="7" s="1"/>
  <c r="AB57" i="7" s="1"/>
  <c r="AV54" i="7"/>
  <c r="AS54" i="7"/>
  <c r="AR54" i="7"/>
  <c r="AP54" i="7"/>
  <c r="AN54" i="7"/>
  <c r="AF54" i="7"/>
  <c r="AE54" i="7"/>
  <c r="AD54" i="7"/>
  <c r="Y54" i="7"/>
  <c r="AA54" i="7" s="1"/>
  <c r="AB54" i="7" s="1"/>
  <c r="AV53" i="7"/>
  <c r="AS53" i="7"/>
  <c r="AR53" i="7"/>
  <c r="AP53" i="7"/>
  <c r="AN53" i="7"/>
  <c r="AF53" i="7"/>
  <c r="AE53" i="7"/>
  <c r="AD53" i="7"/>
  <c r="Y53" i="7"/>
  <c r="AA53" i="7" s="1"/>
  <c r="AB53" i="7" s="1"/>
  <c r="AV51" i="7"/>
  <c r="AS51" i="7"/>
  <c r="AR51" i="7"/>
  <c r="AP51" i="7"/>
  <c r="AN51" i="7"/>
  <c r="AF51" i="7"/>
  <c r="AE51" i="7"/>
  <c r="AD51" i="7"/>
  <c r="Y51" i="7"/>
  <c r="AA51" i="7" s="1"/>
  <c r="AB51" i="7" s="1"/>
  <c r="AV50" i="7"/>
  <c r="AS50" i="7"/>
  <c r="AR50" i="7"/>
  <c r="AP50" i="7"/>
  <c r="AN50" i="7"/>
  <c r="AF50" i="7"/>
  <c r="AE50" i="7"/>
  <c r="AD50" i="7"/>
  <c r="Y50" i="7"/>
  <c r="AA50" i="7" s="1"/>
  <c r="AB50" i="7" s="1"/>
  <c r="AV48" i="7"/>
  <c r="AS48" i="7"/>
  <c r="AR48" i="7"/>
  <c r="AP48" i="7"/>
  <c r="AN48" i="7"/>
  <c r="AF48" i="7"/>
  <c r="AE48" i="7"/>
  <c r="AD48" i="7"/>
  <c r="Y48" i="7"/>
  <c r="AA48" i="7" s="1"/>
  <c r="AB48" i="7" s="1"/>
  <c r="AV47" i="7"/>
  <c r="AS47" i="7"/>
  <c r="AR47" i="7"/>
  <c r="AP47" i="7"/>
  <c r="AN47" i="7"/>
  <c r="AF47" i="7"/>
  <c r="AE47" i="7"/>
  <c r="AD47" i="7"/>
  <c r="Y47" i="7"/>
  <c r="AA47" i="7" s="1"/>
  <c r="AB47" i="7" s="1"/>
  <c r="AV44" i="7"/>
  <c r="AS44" i="7"/>
  <c r="AR44" i="7"/>
  <c r="AP44" i="7"/>
  <c r="AN44" i="7"/>
  <c r="AF44" i="7"/>
  <c r="AE44" i="7"/>
  <c r="AD44" i="7"/>
  <c r="Y44" i="7"/>
  <c r="AA44" i="7" s="1"/>
  <c r="AB44" i="7" s="1"/>
  <c r="AV43" i="7"/>
  <c r="AS43" i="7"/>
  <c r="AR43" i="7"/>
  <c r="AP43" i="7"/>
  <c r="AN43" i="7"/>
  <c r="AF43" i="7"/>
  <c r="AE43" i="7"/>
  <c r="AD43" i="7"/>
  <c r="Y43" i="7"/>
  <c r="AA43" i="7" s="1"/>
  <c r="AB43" i="7" s="1"/>
  <c r="AV41" i="7"/>
  <c r="AS41" i="7"/>
  <c r="AR41" i="7"/>
  <c r="AP41" i="7"/>
  <c r="AN41" i="7"/>
  <c r="AF41" i="7"/>
  <c r="AE41" i="7"/>
  <c r="AD41" i="7"/>
  <c r="Y41" i="7"/>
  <c r="AA41" i="7" s="1"/>
  <c r="AB41" i="7" s="1"/>
  <c r="AV40" i="7"/>
  <c r="AS40" i="7"/>
  <c r="AR40" i="7"/>
  <c r="AP40" i="7"/>
  <c r="AN40" i="7"/>
  <c r="AF40" i="7"/>
  <c r="AE40" i="7"/>
  <c r="AD40" i="7"/>
  <c r="Y40" i="7"/>
  <c r="AA40" i="7" s="1"/>
  <c r="AB40" i="7" s="1"/>
  <c r="AV38" i="7"/>
  <c r="AS38" i="7"/>
  <c r="AR38" i="7"/>
  <c r="AP38" i="7"/>
  <c r="AN38" i="7"/>
  <c r="AF38" i="7"/>
  <c r="AE38" i="7"/>
  <c r="AD38" i="7"/>
  <c r="Y38" i="7"/>
  <c r="AA38" i="7" s="1"/>
  <c r="AB38" i="7" s="1"/>
  <c r="AV37" i="7"/>
  <c r="AS37" i="7"/>
  <c r="AR37" i="7"/>
  <c r="AP37" i="7"/>
  <c r="AN37" i="7"/>
  <c r="AF37" i="7"/>
  <c r="AE37" i="7"/>
  <c r="AD37" i="7"/>
  <c r="Y37" i="7"/>
  <c r="AA37" i="7" s="1"/>
  <c r="AB37" i="7" s="1"/>
  <c r="AV35" i="7"/>
  <c r="AS35" i="7"/>
  <c r="AR35" i="7"/>
  <c r="AP35" i="7"/>
  <c r="AN35" i="7"/>
  <c r="AF35" i="7"/>
  <c r="AE35" i="7"/>
  <c r="AD35" i="7"/>
  <c r="Y35" i="7"/>
  <c r="AA35" i="7" s="1"/>
  <c r="AB35" i="7" s="1"/>
  <c r="AV34" i="7"/>
  <c r="AS34" i="7"/>
  <c r="AR34" i="7"/>
  <c r="AP34" i="7"/>
  <c r="AN34" i="7"/>
  <c r="AF34" i="7"/>
  <c r="AE34" i="7"/>
  <c r="AD34" i="7"/>
  <c r="Y34" i="7"/>
  <c r="AA34" i="7" s="1"/>
  <c r="AB34" i="7" s="1"/>
  <c r="AV32" i="7"/>
  <c r="AS32" i="7"/>
  <c r="AR32" i="7"/>
  <c r="AP32" i="7"/>
  <c r="AN32" i="7"/>
  <c r="AF32" i="7"/>
  <c r="AE32" i="7"/>
  <c r="AD32" i="7"/>
  <c r="Y32" i="7"/>
  <c r="AA32" i="7" s="1"/>
  <c r="AB32" i="7" s="1"/>
  <c r="AV31" i="7"/>
  <c r="AS31" i="7"/>
  <c r="AR31" i="7"/>
  <c r="AP31" i="7"/>
  <c r="AN31" i="7"/>
  <c r="AF31" i="7"/>
  <c r="AE31" i="7"/>
  <c r="AD31" i="7"/>
  <c r="Y31" i="7"/>
  <c r="AA31" i="7" s="1"/>
  <c r="AB31" i="7" s="1"/>
  <c r="AV29" i="7"/>
  <c r="AS29" i="7"/>
  <c r="AR29" i="7"/>
  <c r="AP29" i="7"/>
  <c r="AN29" i="7"/>
  <c r="AF29" i="7"/>
  <c r="AE29" i="7"/>
  <c r="AD29" i="7"/>
  <c r="Y29" i="7"/>
  <c r="AA29" i="7" s="1"/>
  <c r="AB29" i="7" s="1"/>
  <c r="AV28" i="7"/>
  <c r="AS28" i="7"/>
  <c r="AR28" i="7"/>
  <c r="AP28" i="7"/>
  <c r="AN28" i="7"/>
  <c r="AF28" i="7"/>
  <c r="AE28" i="7"/>
  <c r="AD28" i="7"/>
  <c r="Y28" i="7"/>
  <c r="AA28" i="7" s="1"/>
  <c r="AB28" i="7" s="1"/>
  <c r="AV26" i="7"/>
  <c r="AS26" i="7"/>
  <c r="AR26" i="7"/>
  <c r="AP26" i="7"/>
  <c r="AN26" i="7"/>
  <c r="AF26" i="7"/>
  <c r="AE26" i="7"/>
  <c r="AD26" i="7"/>
  <c r="Y26" i="7"/>
  <c r="AA26" i="7" s="1"/>
  <c r="AB26" i="7" s="1"/>
  <c r="AV25" i="7"/>
  <c r="AS25" i="7"/>
  <c r="AR25" i="7"/>
  <c r="AP25" i="7"/>
  <c r="AN25" i="7"/>
  <c r="AF25" i="7"/>
  <c r="AE25" i="7"/>
  <c r="AD25" i="7"/>
  <c r="Y25" i="7"/>
  <c r="AA25" i="7" s="1"/>
  <c r="AB25" i="7" s="1"/>
  <c r="AV22" i="7"/>
  <c r="AS22" i="7"/>
  <c r="AR22" i="7"/>
  <c r="AP22" i="7"/>
  <c r="AN22" i="7"/>
  <c r="AF22" i="7"/>
  <c r="AE22" i="7"/>
  <c r="AD22" i="7"/>
  <c r="Y22" i="7"/>
  <c r="AA22" i="7" s="1"/>
  <c r="AB22" i="7" s="1"/>
  <c r="AV21" i="7"/>
  <c r="AS21" i="7"/>
  <c r="AR21" i="7"/>
  <c r="AP21" i="7"/>
  <c r="AN21" i="7"/>
  <c r="AF21" i="7"/>
  <c r="AE21" i="7"/>
  <c r="AD21" i="7"/>
  <c r="Y21" i="7"/>
  <c r="AA21" i="7" s="1"/>
  <c r="AB21" i="7" s="1"/>
  <c r="AV19" i="7"/>
  <c r="AS19" i="7"/>
  <c r="AR19" i="7"/>
  <c r="AP19" i="7"/>
  <c r="AN19" i="7"/>
  <c r="AF19" i="7"/>
  <c r="AE19" i="7"/>
  <c r="AD19" i="7"/>
  <c r="Y19" i="7"/>
  <c r="AA19" i="7" s="1"/>
  <c r="AB19" i="7" s="1"/>
  <c r="AV18" i="7"/>
  <c r="AS18" i="7"/>
  <c r="AR18" i="7"/>
  <c r="AP18" i="7"/>
  <c r="AN18" i="7"/>
  <c r="AF18" i="7"/>
  <c r="AE18" i="7"/>
  <c r="AD18" i="7"/>
  <c r="Y18" i="7"/>
  <c r="AA18" i="7" s="1"/>
  <c r="AB18" i="7" s="1"/>
  <c r="AV16" i="7"/>
  <c r="AS16" i="7"/>
  <c r="AR16" i="7"/>
  <c r="AP16" i="7"/>
  <c r="AN16" i="7"/>
  <c r="AF16" i="7"/>
  <c r="AE16" i="7"/>
  <c r="AD16" i="7"/>
  <c r="Y16" i="7"/>
  <c r="AA16" i="7" s="1"/>
  <c r="AB16" i="7" s="1"/>
  <c r="AV15" i="7"/>
  <c r="AS15" i="7"/>
  <c r="AR15" i="7"/>
  <c r="AP15" i="7"/>
  <c r="AN15" i="7"/>
  <c r="AF15" i="7"/>
  <c r="AE15" i="7"/>
  <c r="AD15" i="7"/>
  <c r="Y15" i="7"/>
  <c r="AA15" i="7" s="1"/>
  <c r="AB15" i="7" s="1"/>
  <c r="AV13" i="7"/>
  <c r="AS13" i="7"/>
  <c r="AR13" i="7"/>
  <c r="AP13" i="7"/>
  <c r="AN13" i="7"/>
  <c r="AF13" i="7"/>
  <c r="AE13" i="7"/>
  <c r="AD13" i="7"/>
  <c r="Y13" i="7"/>
  <c r="AA13" i="7" s="1"/>
  <c r="AB13" i="7" s="1"/>
  <c r="AV12" i="7"/>
  <c r="AS12" i="7"/>
  <c r="AR12" i="7"/>
  <c r="AP12" i="7"/>
  <c r="AN12" i="7"/>
  <c r="AF12" i="7"/>
  <c r="AE12" i="7"/>
  <c r="AD12" i="7"/>
  <c r="Y12" i="7"/>
  <c r="AA12" i="7" s="1"/>
  <c r="AB12" i="7" s="1"/>
  <c r="AV10" i="7"/>
  <c r="AS10" i="7"/>
  <c r="AR10" i="7"/>
  <c r="AP10" i="7"/>
  <c r="AN10" i="7"/>
  <c r="AF10" i="7"/>
  <c r="AE10" i="7"/>
  <c r="AD10" i="7"/>
  <c r="Y10" i="7"/>
  <c r="AA10" i="7" s="1"/>
  <c r="AB10" i="7" s="1"/>
  <c r="AV9" i="7"/>
  <c r="AS9" i="7"/>
  <c r="AR9" i="7"/>
  <c r="AP9" i="7"/>
  <c r="AN9" i="7"/>
  <c r="AF9" i="7"/>
  <c r="AE9" i="7"/>
  <c r="AD9" i="7"/>
  <c r="Y9" i="7"/>
  <c r="AA9" i="7" s="1"/>
  <c r="AB9" i="7" s="1"/>
  <c r="AD14" i="7"/>
  <c r="AE14" i="7"/>
  <c r="AF14" i="7"/>
  <c r="AD17" i="7"/>
  <c r="AE17" i="7"/>
  <c r="AF17" i="7"/>
  <c r="AD20" i="7"/>
  <c r="AE20" i="7"/>
  <c r="AF20" i="7"/>
  <c r="AD23" i="7"/>
  <c r="AE23" i="7"/>
  <c r="AF23" i="7"/>
  <c r="AD24" i="7"/>
  <c r="AE24" i="7"/>
  <c r="AF24" i="7"/>
  <c r="AD27" i="7"/>
  <c r="AE27" i="7"/>
  <c r="AF27" i="7"/>
  <c r="AD30" i="7"/>
  <c r="AE30" i="7"/>
  <c r="AF30" i="7"/>
  <c r="AD33" i="7"/>
  <c r="AE33" i="7"/>
  <c r="AF33" i="7"/>
  <c r="AD36" i="7"/>
  <c r="AE36" i="7"/>
  <c r="AF36" i="7"/>
  <c r="AD39" i="7"/>
  <c r="AE39" i="7"/>
  <c r="AF39" i="7"/>
  <c r="AD42" i="7"/>
  <c r="AE42" i="7"/>
  <c r="AF42" i="7"/>
  <c r="AD45" i="7"/>
  <c r="AE45" i="7"/>
  <c r="AF45" i="7"/>
  <c r="AD46" i="7"/>
  <c r="AE46" i="7"/>
  <c r="AF46" i="7"/>
  <c r="AD49" i="7"/>
  <c r="AE49" i="7"/>
  <c r="AF49" i="7"/>
  <c r="AD52" i="7"/>
  <c r="AE52" i="7"/>
  <c r="AF52" i="7"/>
  <c r="AD55" i="7"/>
  <c r="AE55" i="7"/>
  <c r="AF55" i="7"/>
  <c r="AD56" i="7"/>
  <c r="AE56" i="7"/>
  <c r="AF56" i="7"/>
  <c r="AD59" i="7"/>
  <c r="AE59" i="7"/>
  <c r="AF59" i="7"/>
  <c r="AD62" i="7"/>
  <c r="AE62" i="7"/>
  <c r="AF62" i="7"/>
  <c r="AD65" i="7"/>
  <c r="AE65" i="7"/>
  <c r="AF65" i="7"/>
  <c r="AD66" i="7"/>
  <c r="AE66" i="7"/>
  <c r="AF66" i="7"/>
  <c r="AD69" i="7"/>
  <c r="AE69" i="7"/>
  <c r="AF69" i="7"/>
  <c r="AD72" i="7"/>
  <c r="AE72" i="7"/>
  <c r="AF72" i="7"/>
  <c r="AD75" i="7"/>
  <c r="AE75" i="7"/>
  <c r="AF75" i="7"/>
  <c r="AD76" i="7"/>
  <c r="AE76" i="7"/>
  <c r="AF76" i="7"/>
  <c r="AD79" i="7"/>
  <c r="AE79" i="7"/>
  <c r="AF79" i="7"/>
  <c r="AD82" i="7"/>
  <c r="AE82" i="7"/>
  <c r="AF82" i="7"/>
  <c r="AD85" i="7"/>
  <c r="AE85" i="7"/>
  <c r="AF85" i="7"/>
  <c r="AD105" i="7"/>
  <c r="AE105" i="7"/>
  <c r="AF105" i="7"/>
  <c r="AD106" i="7"/>
  <c r="AE106" i="7"/>
  <c r="AF106" i="7"/>
  <c r="AD107" i="7"/>
  <c r="AE107" i="7"/>
  <c r="AF107" i="7"/>
  <c r="AD119" i="7"/>
  <c r="AE119" i="7"/>
  <c r="AF119" i="7"/>
  <c r="AD125" i="7"/>
  <c r="AE125" i="7"/>
  <c r="AF125" i="7"/>
  <c r="AD128" i="7"/>
  <c r="AE128" i="7"/>
  <c r="AF128" i="7"/>
  <c r="AD131" i="7"/>
  <c r="AE131" i="7"/>
  <c r="AF131" i="7"/>
  <c r="AD134" i="7"/>
  <c r="AE134" i="7"/>
  <c r="AF134" i="7"/>
  <c r="AD137" i="7"/>
  <c r="AE137" i="7"/>
  <c r="AF137" i="7"/>
  <c r="AD140" i="7"/>
  <c r="AE140" i="7"/>
  <c r="AF140" i="7"/>
  <c r="AD143" i="7"/>
  <c r="AE143" i="7"/>
  <c r="AF143" i="7"/>
  <c r="AD146" i="7"/>
  <c r="AE146" i="7"/>
  <c r="AF146" i="7"/>
  <c r="AD149" i="7"/>
  <c r="AE149" i="7"/>
  <c r="AF149" i="7"/>
  <c r="AD152" i="7"/>
  <c r="AE152" i="7"/>
  <c r="AF152" i="7"/>
  <c r="AD11" i="7"/>
  <c r="AE11" i="7"/>
  <c r="AF11" i="7"/>
  <c r="AD5" i="7"/>
  <c r="AE5" i="7"/>
  <c r="AF5" i="7"/>
  <c r="AD6" i="7"/>
  <c r="AE6" i="7"/>
  <c r="AF6" i="7"/>
  <c r="AD7" i="7"/>
  <c r="AE7" i="7"/>
  <c r="AF7" i="7"/>
  <c r="AD8" i="7"/>
  <c r="AE8" i="7"/>
  <c r="AF8" i="7"/>
  <c r="AV7" i="7"/>
  <c r="AS7" i="7"/>
  <c r="AR7" i="7"/>
  <c r="AP7" i="7"/>
  <c r="AN7" i="7"/>
  <c r="Y7" i="7"/>
  <c r="AA7" i="7" s="1"/>
  <c r="AB7" i="7" s="1"/>
  <c r="AV6" i="7"/>
  <c r="AS6" i="7"/>
  <c r="AR6" i="7"/>
  <c r="AP6" i="7"/>
  <c r="AN6" i="7"/>
  <c r="Y6" i="7"/>
  <c r="AA6" i="7" s="1"/>
  <c r="AB6" i="7" s="1"/>
  <c r="AV4" i="7"/>
  <c r="AS4" i="7"/>
  <c r="AR4" i="7"/>
  <c r="AP4" i="7"/>
  <c r="AN4" i="7"/>
  <c r="AF4" i="7"/>
  <c r="AE4" i="7"/>
  <c r="AD4" i="7"/>
  <c r="Y4" i="7"/>
  <c r="AA4" i="7" s="1"/>
  <c r="AB4" i="7" s="1"/>
  <c r="AV3" i="7"/>
  <c r="AS3" i="7"/>
  <c r="AR3" i="7"/>
  <c r="AP3" i="7"/>
  <c r="AN3" i="7"/>
  <c r="AF3" i="7"/>
  <c r="AE3" i="7"/>
  <c r="AD3" i="7"/>
  <c r="Y3" i="7"/>
  <c r="AA3" i="7" s="1"/>
  <c r="AB3" i="7" s="1"/>
  <c r="G11" i="1"/>
  <c r="H11" i="1" s="1"/>
  <c r="I11" i="1" s="1"/>
  <c r="AW61" i="7" l="1"/>
  <c r="AW12" i="7"/>
  <c r="AW25" i="7"/>
  <c r="AX25" i="7" s="1"/>
  <c r="AY25" i="7" s="1"/>
  <c r="AW37" i="7"/>
  <c r="AX37" i="7" s="1"/>
  <c r="AY37" i="7" s="1"/>
  <c r="AW50" i="7"/>
  <c r="AX50" i="7" s="1"/>
  <c r="AY50" i="7" s="1"/>
  <c r="AW63" i="7"/>
  <c r="AW47" i="7"/>
  <c r="AX47" i="7" s="1"/>
  <c r="AY47" i="7" s="1"/>
  <c r="AW60" i="7"/>
  <c r="AX60" i="7" s="1"/>
  <c r="AY60" i="7" s="1"/>
  <c r="AW13" i="7"/>
  <c r="AW26" i="7"/>
  <c r="AW38" i="7"/>
  <c r="AX38" i="7" s="1"/>
  <c r="AY38" i="7" s="1"/>
  <c r="AW51" i="7"/>
  <c r="AX51" i="7" s="1"/>
  <c r="AY51" i="7" s="1"/>
  <c r="AW64" i="7"/>
  <c r="AX64" i="7" s="1"/>
  <c r="AY64" i="7" s="1"/>
  <c r="AW9" i="7"/>
  <c r="AX9" i="7" s="1"/>
  <c r="AY9" i="7" s="1"/>
  <c r="AW34" i="7"/>
  <c r="AX34" i="7" s="1"/>
  <c r="AY34" i="7" s="1"/>
  <c r="AW10" i="7"/>
  <c r="AX10" i="7" s="1"/>
  <c r="AY10" i="7" s="1"/>
  <c r="AW22" i="7"/>
  <c r="AW35" i="7"/>
  <c r="AW48" i="7"/>
  <c r="AX48" i="7" s="1"/>
  <c r="AY48" i="7" s="1"/>
  <c r="AW15" i="7"/>
  <c r="AX15" i="7" s="1"/>
  <c r="AY15" i="7" s="1"/>
  <c r="AW28" i="7"/>
  <c r="AX28" i="7" s="1"/>
  <c r="AY28" i="7" s="1"/>
  <c r="AW40" i="7"/>
  <c r="AX40" i="7" s="1"/>
  <c r="AY40" i="7" s="1"/>
  <c r="AW53" i="7"/>
  <c r="AX53" i="7" s="1"/>
  <c r="AY53" i="7" s="1"/>
  <c r="AW21" i="7"/>
  <c r="AX21" i="7" s="1"/>
  <c r="AY21" i="7" s="1"/>
  <c r="AW3" i="7"/>
  <c r="AW7" i="7"/>
  <c r="AW16" i="7"/>
  <c r="AX16" i="7" s="1"/>
  <c r="AY16" i="7" s="1"/>
  <c r="AW29" i="7"/>
  <c r="AX29" i="7" s="1"/>
  <c r="AY29" i="7" s="1"/>
  <c r="AW41" i="7"/>
  <c r="AX41" i="7" s="1"/>
  <c r="AY41" i="7" s="1"/>
  <c r="AW54" i="7"/>
  <c r="AX54" i="7" s="1"/>
  <c r="AY54" i="7" s="1"/>
  <c r="AW4" i="7"/>
  <c r="AX4" i="7" s="1"/>
  <c r="AY4" i="7" s="1"/>
  <c r="AW18" i="7"/>
  <c r="AX18" i="7" s="1"/>
  <c r="AY18" i="7" s="1"/>
  <c r="AW31" i="7"/>
  <c r="AW43" i="7"/>
  <c r="AW57" i="7"/>
  <c r="AX57" i="7" s="1"/>
  <c r="AY57" i="7" s="1"/>
  <c r="AW6" i="7"/>
  <c r="AX6" i="7" s="1"/>
  <c r="AY6" i="7" s="1"/>
  <c r="AW19" i="7"/>
  <c r="AX19" i="7" s="1"/>
  <c r="AY19" i="7" s="1"/>
  <c r="AW32" i="7"/>
  <c r="AX32" i="7" s="1"/>
  <c r="AY32" i="7" s="1"/>
  <c r="AW44" i="7"/>
  <c r="AX44" i="7" s="1"/>
  <c r="AY44" i="7" s="1"/>
  <c r="AW58" i="7"/>
  <c r="AX58" i="7" s="1"/>
  <c r="AY58" i="7" s="1"/>
  <c r="AT63" i="7"/>
  <c r="AU63" i="7" s="1"/>
  <c r="AT64" i="7"/>
  <c r="AU64" i="7" s="1"/>
  <c r="AT58" i="7"/>
  <c r="AU58" i="7" s="1"/>
  <c r="AG64" i="7"/>
  <c r="AH64" i="7" s="1"/>
  <c r="AT41" i="7"/>
  <c r="AU41" i="7" s="1"/>
  <c r="AT54" i="7"/>
  <c r="AU54" i="7" s="1"/>
  <c r="AT61" i="7"/>
  <c r="AU61" i="7" s="1"/>
  <c r="AL63" i="7"/>
  <c r="AM63" i="7" s="1"/>
  <c r="AG63" i="7"/>
  <c r="AH63" i="7" s="1"/>
  <c r="AT38" i="7"/>
  <c r="AU38" i="7" s="1"/>
  <c r="AT51" i="7"/>
  <c r="AU51" i="7" s="1"/>
  <c r="AL57" i="7"/>
  <c r="AM57" i="7" s="1"/>
  <c r="AG60" i="7"/>
  <c r="AH60" i="7" s="1"/>
  <c r="AT60" i="7"/>
  <c r="AU60" i="7" s="1"/>
  <c r="AL60" i="7"/>
  <c r="AM60" i="7" s="1"/>
  <c r="AT40" i="7"/>
  <c r="AU40" i="7" s="1"/>
  <c r="AT53" i="7"/>
  <c r="AU53" i="7" s="1"/>
  <c r="AT57" i="7"/>
  <c r="AU57" i="7" s="1"/>
  <c r="AL58" i="7"/>
  <c r="AM58" i="7" s="1"/>
  <c r="AT3" i="7"/>
  <c r="AU3" i="7" s="1"/>
  <c r="AL61" i="7"/>
  <c r="AM61" i="7" s="1"/>
  <c r="AL64" i="7"/>
  <c r="AM64" i="7" s="1"/>
  <c r="AX63" i="7"/>
  <c r="AY63" i="7" s="1"/>
  <c r="AG61" i="7"/>
  <c r="AH61" i="7" s="1"/>
  <c r="AX61" i="7"/>
  <c r="AY61" i="7" s="1"/>
  <c r="AG58" i="7"/>
  <c r="AH58" i="7" s="1"/>
  <c r="AG57" i="7"/>
  <c r="AH57" i="7" s="1"/>
  <c r="AL53" i="7"/>
  <c r="AM53" i="7" s="1"/>
  <c r="AG54" i="7"/>
  <c r="AH54" i="7" s="1"/>
  <c r="AT50" i="7"/>
  <c r="AU50" i="7" s="1"/>
  <c r="AL51" i="7"/>
  <c r="AM51" i="7" s="1"/>
  <c r="AL41" i="7"/>
  <c r="AM41" i="7" s="1"/>
  <c r="AG53" i="7"/>
  <c r="AH53" i="7" s="1"/>
  <c r="AL54" i="7"/>
  <c r="AM54" i="7" s="1"/>
  <c r="AT35" i="7"/>
  <c r="AU35" i="7" s="1"/>
  <c r="AT48" i="7"/>
  <c r="AU48" i="7" s="1"/>
  <c r="AL50" i="7"/>
  <c r="AM50" i="7" s="1"/>
  <c r="AG43" i="7"/>
  <c r="AH43" i="7" s="1"/>
  <c r="AT43" i="7"/>
  <c r="AU43" i="7" s="1"/>
  <c r="AG51" i="7"/>
  <c r="AH51" i="7" s="1"/>
  <c r="AT47" i="7"/>
  <c r="AU47" i="7" s="1"/>
  <c r="AG50" i="7"/>
  <c r="AH50" i="7" s="1"/>
  <c r="AG47" i="7"/>
  <c r="AH47" i="7" s="1"/>
  <c r="AG48" i="7"/>
  <c r="AH48" i="7" s="1"/>
  <c r="AL48" i="7"/>
  <c r="AM48" i="7" s="1"/>
  <c r="AL43" i="7"/>
  <c r="AM43" i="7" s="1"/>
  <c r="AT44" i="7"/>
  <c r="AU44" i="7" s="1"/>
  <c r="AL47" i="7"/>
  <c r="AM47" i="7" s="1"/>
  <c r="AG35" i="7"/>
  <c r="AH35" i="7" s="1"/>
  <c r="AL44" i="7"/>
  <c r="AM44" i="7" s="1"/>
  <c r="AG44" i="7"/>
  <c r="AH44" i="7" s="1"/>
  <c r="AX43" i="7"/>
  <c r="AY43" i="7" s="1"/>
  <c r="AG41" i="7"/>
  <c r="AH41" i="7" s="1"/>
  <c r="AG40" i="7"/>
  <c r="AH40" i="7" s="1"/>
  <c r="AL40" i="7"/>
  <c r="AM40" i="7" s="1"/>
  <c r="AT21" i="7"/>
  <c r="AU21" i="7" s="1"/>
  <c r="AT34" i="7"/>
  <c r="AU34" i="7" s="1"/>
  <c r="AL38" i="7"/>
  <c r="AM38" i="7" s="1"/>
  <c r="AT19" i="7"/>
  <c r="AU19" i="7" s="1"/>
  <c r="AT32" i="7"/>
  <c r="AU32" i="7" s="1"/>
  <c r="AL13" i="7"/>
  <c r="AM13" i="7" s="1"/>
  <c r="AT37" i="7"/>
  <c r="AU37" i="7" s="1"/>
  <c r="AL37" i="7"/>
  <c r="AM37" i="7" s="1"/>
  <c r="AT31" i="7"/>
  <c r="AU31" i="7" s="1"/>
  <c r="AL35" i="7"/>
  <c r="AM35" i="7" s="1"/>
  <c r="AT29" i="7"/>
  <c r="AU29" i="7" s="1"/>
  <c r="AG37" i="7"/>
  <c r="AH37" i="7" s="1"/>
  <c r="AG38" i="7"/>
  <c r="AH38" i="7" s="1"/>
  <c r="AT13" i="7"/>
  <c r="AU13" i="7" s="1"/>
  <c r="AG13" i="7"/>
  <c r="AH13" i="7" s="1"/>
  <c r="AT9" i="7"/>
  <c r="AU9" i="7" s="1"/>
  <c r="AT10" i="7"/>
  <c r="AU10" i="7" s="1"/>
  <c r="AT22" i="7"/>
  <c r="AU22" i="7" s="1"/>
  <c r="AT12" i="7"/>
  <c r="AU12" i="7" s="1"/>
  <c r="AG34" i="7"/>
  <c r="AH34" i="7" s="1"/>
  <c r="AL7" i="7"/>
  <c r="AM7" i="7" s="1"/>
  <c r="AL9" i="7"/>
  <c r="AM9" i="7" s="1"/>
  <c r="AL21" i="7"/>
  <c r="AM21" i="7" s="1"/>
  <c r="AL31" i="7"/>
  <c r="AM31" i="7" s="1"/>
  <c r="AL16" i="7"/>
  <c r="AM16" i="7" s="1"/>
  <c r="AL26" i="7"/>
  <c r="AM26" i="7" s="1"/>
  <c r="AL12" i="7"/>
  <c r="AM12" i="7" s="1"/>
  <c r="AL34" i="7"/>
  <c r="AM34" i="7" s="1"/>
  <c r="AL19" i="7"/>
  <c r="AM19" i="7" s="1"/>
  <c r="AL29" i="7"/>
  <c r="AM29" i="7" s="1"/>
  <c r="AL15" i="7"/>
  <c r="AM15" i="7" s="1"/>
  <c r="AL25" i="7"/>
  <c r="AM25" i="7" s="1"/>
  <c r="AL10" i="7"/>
  <c r="AM10" i="7" s="1"/>
  <c r="AL22" i="7"/>
  <c r="AM22" i="7" s="1"/>
  <c r="AL32" i="7"/>
  <c r="AM32" i="7" s="1"/>
  <c r="AL18" i="7"/>
  <c r="AM18" i="7" s="1"/>
  <c r="AL28" i="7"/>
  <c r="AM28" i="7" s="1"/>
  <c r="AG29" i="7"/>
  <c r="AH29" i="7" s="1"/>
  <c r="AG25" i="7"/>
  <c r="AH25" i="7" s="1"/>
  <c r="AT25" i="7"/>
  <c r="AU25" i="7" s="1"/>
  <c r="AG32" i="7"/>
  <c r="AH32" i="7" s="1"/>
  <c r="AG28" i="7"/>
  <c r="AH28" i="7" s="1"/>
  <c r="AT28" i="7"/>
  <c r="AU28" i="7" s="1"/>
  <c r="AG31" i="7"/>
  <c r="AH31" i="7" s="1"/>
  <c r="AG26" i="7"/>
  <c r="AH26" i="7" s="1"/>
  <c r="AT26" i="7"/>
  <c r="AU26" i="7" s="1"/>
  <c r="AX35" i="7"/>
  <c r="AY35" i="7" s="1"/>
  <c r="AX31" i="7"/>
  <c r="AY31" i="7" s="1"/>
  <c r="AX26" i="7"/>
  <c r="AY26" i="7" s="1"/>
  <c r="AG22" i="7"/>
  <c r="AH22" i="7" s="1"/>
  <c r="AG21" i="7"/>
  <c r="AH21" i="7" s="1"/>
  <c r="AG19" i="7"/>
  <c r="AH19" i="7" s="1"/>
  <c r="AT15" i="7"/>
  <c r="AU15" i="7" s="1"/>
  <c r="AG18" i="7"/>
  <c r="AH18" i="7" s="1"/>
  <c r="AT18" i="7"/>
  <c r="AU18" i="7" s="1"/>
  <c r="AT16" i="7"/>
  <c r="AU16" i="7" s="1"/>
  <c r="AX22" i="7"/>
  <c r="AY22" i="7" s="1"/>
  <c r="AG16" i="7"/>
  <c r="AH16" i="7" s="1"/>
  <c r="AG15" i="7"/>
  <c r="AH15" i="7" s="1"/>
  <c r="AT7" i="7"/>
  <c r="AU7" i="7" s="1"/>
  <c r="AT6" i="7"/>
  <c r="AU6" i="7" s="1"/>
  <c r="AG12" i="7"/>
  <c r="AH12" i="7" s="1"/>
  <c r="AX13" i="7"/>
  <c r="AY13" i="7" s="1"/>
  <c r="AX12" i="7"/>
  <c r="AY12" i="7" s="1"/>
  <c r="AG9" i="7"/>
  <c r="AH9" i="7" s="1"/>
  <c r="AG10" i="7"/>
  <c r="AH10" i="7" s="1"/>
  <c r="AL3" i="7"/>
  <c r="AM3" i="7" s="1"/>
  <c r="AT4" i="7"/>
  <c r="AU4" i="7" s="1"/>
  <c r="AL6" i="7"/>
  <c r="AM6" i="7" s="1"/>
  <c r="AL4" i="7"/>
  <c r="AM4" i="7" s="1"/>
  <c r="AG7" i="7"/>
  <c r="AH7" i="7" s="1"/>
  <c r="AG6" i="7"/>
  <c r="AH6" i="7" s="1"/>
  <c r="AX7" i="7"/>
  <c r="AY7" i="7" s="1"/>
  <c r="AG4" i="7"/>
  <c r="AH4" i="7" s="1"/>
  <c r="AG3" i="7"/>
  <c r="AH3" i="7" s="1"/>
  <c r="AX3" i="7"/>
  <c r="AY3" i="7" s="1"/>
  <c r="J11" i="1"/>
  <c r="E13" i="1" l="1"/>
  <c r="G13" i="1" s="1"/>
  <c r="E12" i="1"/>
  <c r="G12" i="1" s="1"/>
  <c r="P16" i="6"/>
  <c r="P18" i="6"/>
  <c r="P19" i="6"/>
  <c r="P21" i="6"/>
  <c r="P22" i="6"/>
  <c r="P23" i="6"/>
  <c r="P15" i="6"/>
  <c r="H13" i="1" l="1"/>
  <c r="I13" i="1" s="1"/>
  <c r="J13" i="1"/>
  <c r="H12" i="1"/>
  <c r="I12" i="1" s="1"/>
  <c r="J12" i="1"/>
  <c r="K24" i="6" l="1"/>
  <c r="J24" i="6"/>
  <c r="V23" i="6"/>
  <c r="V22" i="6"/>
  <c r="V21" i="6"/>
  <c r="V20" i="6"/>
  <c r="V19" i="6"/>
  <c r="V18" i="6"/>
  <c r="V17" i="6"/>
  <c r="V16" i="6"/>
  <c r="V15" i="6"/>
  <c r="P24" i="6"/>
  <c r="F3" i="15"/>
  <c r="F4" i="15"/>
  <c r="F5" i="15"/>
  <c r="F6" i="15"/>
  <c r="F7" i="15"/>
  <c r="F8" i="15"/>
  <c r="F9" i="15"/>
  <c r="F10" i="15"/>
  <c r="F11" i="15"/>
  <c r="F12" i="15"/>
  <c r="F13" i="15"/>
  <c r="F2" i="15"/>
  <c r="V24" i="6" l="1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2" i="17"/>
  <c r="S7" i="13"/>
  <c r="K7" i="13"/>
  <c r="S6" i="13"/>
  <c r="K6" i="13"/>
  <c r="S5" i="13"/>
  <c r="K5" i="13"/>
  <c r="S4" i="13"/>
  <c r="K4" i="13"/>
  <c r="S3" i="13"/>
  <c r="K3" i="13"/>
  <c r="S2" i="13"/>
  <c r="K2" i="13"/>
  <c r="J107" i="14" l="1"/>
  <c r="J108" i="14"/>
  <c r="J109" i="14"/>
  <c r="J110" i="14"/>
  <c r="J111" i="14"/>
  <c r="J112" i="14"/>
  <c r="J113" i="14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J88" i="14"/>
  <c r="J89" i="14"/>
  <c r="J90" i="14"/>
  <c r="J91" i="14"/>
  <c r="J92" i="14"/>
  <c r="J93" i="14"/>
  <c r="J94" i="14"/>
  <c r="J69" i="14"/>
  <c r="J70" i="14"/>
  <c r="J71" i="14"/>
  <c r="J72" i="14"/>
  <c r="J73" i="14"/>
  <c r="J74" i="14"/>
  <c r="J75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E69" i="14"/>
  <c r="E70" i="14"/>
  <c r="E71" i="14"/>
  <c r="E72" i="14"/>
  <c r="E73" i="14"/>
  <c r="E74" i="14"/>
  <c r="E75" i="14"/>
  <c r="D69" i="14"/>
  <c r="D70" i="14"/>
  <c r="D71" i="14"/>
  <c r="D72" i="14"/>
  <c r="D73" i="14"/>
  <c r="D74" i="14"/>
  <c r="D75" i="14"/>
  <c r="Y5" i="12"/>
  <c r="AC4" i="17"/>
  <c r="AC3" i="17"/>
  <c r="AC2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C3" i="17"/>
  <c r="B3" i="17"/>
  <c r="O3" i="17" s="1"/>
  <c r="K3" i="17" s="1"/>
  <c r="G3" i="17" s="1"/>
  <c r="O4" i="17" l="1"/>
  <c r="K4" i="17" s="1"/>
  <c r="G4" i="17" s="1"/>
  <c r="P3" i="17"/>
  <c r="L3" i="17" s="1"/>
  <c r="H3" i="17" s="1"/>
  <c r="D3" i="17" s="1"/>
  <c r="P7" i="17"/>
  <c r="P11" i="17"/>
  <c r="P15" i="17"/>
  <c r="P19" i="17"/>
  <c r="P23" i="17"/>
  <c r="P27" i="17"/>
  <c r="P31" i="17"/>
  <c r="P35" i="17"/>
  <c r="P2" i="17"/>
  <c r="P4" i="17"/>
  <c r="L4" i="17" s="1"/>
  <c r="H4" i="17" s="1"/>
  <c r="D4" i="17" s="1"/>
  <c r="P8" i="17"/>
  <c r="P12" i="17"/>
  <c r="P16" i="17"/>
  <c r="P20" i="17"/>
  <c r="P24" i="17"/>
  <c r="P28" i="17"/>
  <c r="P32" i="17"/>
  <c r="P36" i="17"/>
  <c r="P5" i="17"/>
  <c r="P9" i="17"/>
  <c r="P13" i="17"/>
  <c r="P17" i="17"/>
  <c r="P21" i="17"/>
  <c r="P25" i="17"/>
  <c r="P29" i="17"/>
  <c r="P33" i="17"/>
  <c r="P37" i="17"/>
  <c r="B5" i="13"/>
  <c r="P6" i="17"/>
  <c r="P10" i="17"/>
  <c r="P14" i="17"/>
  <c r="P18" i="17"/>
  <c r="P22" i="17"/>
  <c r="P26" i="17"/>
  <c r="P30" i="17"/>
  <c r="P34" i="17"/>
  <c r="P38" i="17"/>
  <c r="B7" i="13"/>
  <c r="G7" i="13" s="1"/>
  <c r="R5" i="17"/>
  <c r="R9" i="17"/>
  <c r="R13" i="17"/>
  <c r="R17" i="17"/>
  <c r="R21" i="17"/>
  <c r="R25" i="17"/>
  <c r="R29" i="17"/>
  <c r="R33" i="17"/>
  <c r="R37" i="17"/>
  <c r="R6" i="17"/>
  <c r="R10" i="17"/>
  <c r="R14" i="17"/>
  <c r="R18" i="17"/>
  <c r="R22" i="17"/>
  <c r="R26" i="17"/>
  <c r="R30" i="17"/>
  <c r="R34" i="17"/>
  <c r="R38" i="17"/>
  <c r="R3" i="17"/>
  <c r="N3" i="17" s="1"/>
  <c r="J3" i="17" s="1"/>
  <c r="F3" i="17" s="1"/>
  <c r="R7" i="17"/>
  <c r="R11" i="17"/>
  <c r="R15" i="17"/>
  <c r="R19" i="17"/>
  <c r="R23" i="17"/>
  <c r="R27" i="17"/>
  <c r="R31" i="17"/>
  <c r="R35" i="17"/>
  <c r="R2" i="17"/>
  <c r="R4" i="17"/>
  <c r="R8" i="17"/>
  <c r="R12" i="17"/>
  <c r="R16" i="17"/>
  <c r="R20" i="17"/>
  <c r="R24" i="17"/>
  <c r="R28" i="17"/>
  <c r="R32" i="17"/>
  <c r="R36" i="17"/>
  <c r="Q4" i="17"/>
  <c r="Q8" i="17"/>
  <c r="Q12" i="17"/>
  <c r="Q16" i="17"/>
  <c r="Q20" i="17"/>
  <c r="Q24" i="17"/>
  <c r="Q28" i="17"/>
  <c r="Q32" i="17"/>
  <c r="Q36" i="17"/>
  <c r="Q5" i="17"/>
  <c r="Q9" i="17"/>
  <c r="Q13" i="17"/>
  <c r="Q17" i="17"/>
  <c r="Q21" i="17"/>
  <c r="Q25" i="17"/>
  <c r="Q29" i="17"/>
  <c r="Q33" i="17"/>
  <c r="Q37" i="17"/>
  <c r="B6" i="13"/>
  <c r="Q6" i="17"/>
  <c r="Q10" i="17"/>
  <c r="Q14" i="17"/>
  <c r="Q18" i="17"/>
  <c r="Q22" i="17"/>
  <c r="Q26" i="17"/>
  <c r="Q30" i="17"/>
  <c r="Q34" i="17"/>
  <c r="Q38" i="17"/>
  <c r="Q3" i="17"/>
  <c r="M3" i="17" s="1"/>
  <c r="I3" i="17" s="1"/>
  <c r="E3" i="17" s="1"/>
  <c r="Q7" i="17"/>
  <c r="Q11" i="17"/>
  <c r="Q15" i="17"/>
  <c r="Q19" i="17"/>
  <c r="Q23" i="17"/>
  <c r="Q27" i="17"/>
  <c r="Q31" i="17"/>
  <c r="Q35" i="17"/>
  <c r="Q2" i="17"/>
  <c r="F7" i="13"/>
  <c r="E7" i="13"/>
  <c r="C7" i="13"/>
  <c r="L29" i="2"/>
  <c r="L30" i="2"/>
  <c r="L31" i="2"/>
  <c r="L32" i="2"/>
  <c r="L33" i="2"/>
  <c r="L34" i="2"/>
  <c r="L35" i="2"/>
  <c r="L36" i="2"/>
  <c r="L37" i="2"/>
  <c r="L3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" i="2"/>
  <c r="U30" i="2"/>
  <c r="U31" i="2"/>
  <c r="U32" i="2"/>
  <c r="U33" i="2"/>
  <c r="U34" i="2"/>
  <c r="U35" i="2"/>
  <c r="U36" i="2"/>
  <c r="U37" i="2"/>
  <c r="U29" i="2"/>
  <c r="W29" i="2" s="1"/>
  <c r="U21" i="2"/>
  <c r="U22" i="2"/>
  <c r="U23" i="2"/>
  <c r="U24" i="2"/>
  <c r="U25" i="2"/>
  <c r="U26" i="2"/>
  <c r="U27" i="2"/>
  <c r="U28" i="2"/>
  <c r="U20" i="2"/>
  <c r="W20" i="2" s="1"/>
  <c r="T38" i="2"/>
  <c r="U19" i="2"/>
  <c r="U18" i="2"/>
  <c r="U17" i="2"/>
  <c r="U16" i="2"/>
  <c r="U15" i="2"/>
  <c r="U14" i="2"/>
  <c r="U13" i="2"/>
  <c r="U12" i="2"/>
  <c r="U11" i="2"/>
  <c r="C2" i="9"/>
  <c r="D42" i="2" s="1"/>
  <c r="D2" i="9"/>
  <c r="E42" i="2" s="1"/>
  <c r="E2" i="9"/>
  <c r="F42" i="2" s="1"/>
  <c r="F2" i="9"/>
  <c r="G42" i="2" s="1"/>
  <c r="C3" i="9"/>
  <c r="D43" i="2" s="1"/>
  <c r="D3" i="9"/>
  <c r="E43" i="2" s="1"/>
  <c r="E3" i="9"/>
  <c r="F43" i="2" s="1"/>
  <c r="F3" i="9"/>
  <c r="G43" i="2" s="1"/>
  <c r="C4" i="9"/>
  <c r="D44" i="2" s="1"/>
  <c r="D4" i="9"/>
  <c r="E44" i="2" s="1"/>
  <c r="E4" i="9"/>
  <c r="F44" i="2" s="1"/>
  <c r="F4" i="9"/>
  <c r="G44" i="2" s="1"/>
  <c r="C5" i="9"/>
  <c r="D45" i="2" s="1"/>
  <c r="D5" i="9"/>
  <c r="E45" i="2" s="1"/>
  <c r="E5" i="9"/>
  <c r="F45" i="2" s="1"/>
  <c r="F5" i="9"/>
  <c r="G45" i="2" s="1"/>
  <c r="C6" i="9"/>
  <c r="D46" i="2" s="1"/>
  <c r="D6" i="9"/>
  <c r="E46" i="2" s="1"/>
  <c r="E6" i="9"/>
  <c r="F46" i="2" s="1"/>
  <c r="F6" i="9"/>
  <c r="G46" i="2" s="1"/>
  <c r="C7" i="9"/>
  <c r="D47" i="2" s="1"/>
  <c r="D7" i="9"/>
  <c r="E47" i="2" s="1"/>
  <c r="E7" i="9"/>
  <c r="F47" i="2" s="1"/>
  <c r="F7" i="9"/>
  <c r="G47" i="2" s="1"/>
  <c r="C8" i="9"/>
  <c r="D48" i="2" s="1"/>
  <c r="D8" i="9"/>
  <c r="E48" i="2" s="1"/>
  <c r="E8" i="9"/>
  <c r="F48" i="2" s="1"/>
  <c r="F8" i="9"/>
  <c r="G48" i="2" s="1"/>
  <c r="C9" i="9"/>
  <c r="D49" i="2" s="1"/>
  <c r="D9" i="9"/>
  <c r="E49" i="2" s="1"/>
  <c r="E9" i="9"/>
  <c r="F49" i="2" s="1"/>
  <c r="F9" i="9"/>
  <c r="G49" i="2" s="1"/>
  <c r="C10" i="9"/>
  <c r="D50" i="2" s="1"/>
  <c r="D10" i="9"/>
  <c r="E50" i="2" s="1"/>
  <c r="E10" i="9"/>
  <c r="F50" i="2" s="1"/>
  <c r="F10" i="9"/>
  <c r="G50" i="2" s="1"/>
  <c r="C11" i="9"/>
  <c r="D51" i="2" s="1"/>
  <c r="D11" i="9"/>
  <c r="E51" i="2" s="1"/>
  <c r="E11" i="9"/>
  <c r="F51" i="2" s="1"/>
  <c r="F11" i="9"/>
  <c r="G51" i="2" s="1"/>
  <c r="C12" i="9"/>
  <c r="D52" i="2" s="1"/>
  <c r="D12" i="9"/>
  <c r="E52" i="2" s="1"/>
  <c r="E12" i="9"/>
  <c r="F52" i="2" s="1"/>
  <c r="F12" i="9"/>
  <c r="G52" i="2" s="1"/>
  <c r="C13" i="9"/>
  <c r="D53" i="2" s="1"/>
  <c r="D13" i="9"/>
  <c r="E53" i="2" s="1"/>
  <c r="E13" i="9"/>
  <c r="F53" i="2" s="1"/>
  <c r="F13" i="9"/>
  <c r="G53" i="2" s="1"/>
  <c r="C14" i="9"/>
  <c r="D54" i="2" s="1"/>
  <c r="D14" i="9"/>
  <c r="E54" i="2" s="1"/>
  <c r="E14" i="9"/>
  <c r="F54" i="2" s="1"/>
  <c r="F14" i="9"/>
  <c r="G54" i="2" s="1"/>
  <c r="C15" i="9"/>
  <c r="D55" i="2" s="1"/>
  <c r="D15" i="9"/>
  <c r="E55" i="2" s="1"/>
  <c r="E15" i="9"/>
  <c r="F55" i="2" s="1"/>
  <c r="F15" i="9"/>
  <c r="G55" i="2" s="1"/>
  <c r="C16" i="9"/>
  <c r="D56" i="2" s="1"/>
  <c r="D16" i="9"/>
  <c r="E56" i="2" s="1"/>
  <c r="E16" i="9"/>
  <c r="F56" i="2" s="1"/>
  <c r="F16" i="9"/>
  <c r="G56" i="2" s="1"/>
  <c r="C17" i="9"/>
  <c r="D57" i="2" s="1"/>
  <c r="D17" i="9"/>
  <c r="E57" i="2" s="1"/>
  <c r="E17" i="9"/>
  <c r="F57" i="2" s="1"/>
  <c r="F17" i="9"/>
  <c r="G57" i="2" s="1"/>
  <c r="C18" i="9"/>
  <c r="D58" i="2" s="1"/>
  <c r="D18" i="9"/>
  <c r="E58" i="2" s="1"/>
  <c r="E18" i="9"/>
  <c r="F58" i="2" s="1"/>
  <c r="F18" i="9"/>
  <c r="G58" i="2" s="1"/>
  <c r="C19" i="9"/>
  <c r="D59" i="2" s="1"/>
  <c r="D19" i="9"/>
  <c r="E59" i="2" s="1"/>
  <c r="E19" i="9"/>
  <c r="F59" i="2" s="1"/>
  <c r="F19" i="9"/>
  <c r="G59" i="2" s="1"/>
  <c r="C20" i="9"/>
  <c r="D60" i="2" s="1"/>
  <c r="D20" i="9"/>
  <c r="E60" i="2" s="1"/>
  <c r="E20" i="9"/>
  <c r="F60" i="2" s="1"/>
  <c r="F20" i="9"/>
  <c r="G60" i="2" s="1"/>
  <c r="C21" i="9"/>
  <c r="D61" i="2" s="1"/>
  <c r="D21" i="9"/>
  <c r="E61" i="2" s="1"/>
  <c r="E21" i="9"/>
  <c r="F61" i="2" s="1"/>
  <c r="F21" i="9"/>
  <c r="G61" i="2" s="1"/>
  <c r="C22" i="9"/>
  <c r="D62" i="2" s="1"/>
  <c r="D22" i="9"/>
  <c r="E62" i="2" s="1"/>
  <c r="E22" i="9"/>
  <c r="F62" i="2" s="1"/>
  <c r="F22" i="9"/>
  <c r="G62" i="2" s="1"/>
  <c r="C23" i="9"/>
  <c r="D63" i="2" s="1"/>
  <c r="D23" i="9"/>
  <c r="E63" i="2" s="1"/>
  <c r="E23" i="9"/>
  <c r="F63" i="2" s="1"/>
  <c r="F23" i="9"/>
  <c r="G63" i="2" s="1"/>
  <c r="C24" i="9"/>
  <c r="D64" i="2" s="1"/>
  <c r="D24" i="9"/>
  <c r="E64" i="2" s="1"/>
  <c r="E24" i="9"/>
  <c r="F64" i="2" s="1"/>
  <c r="F24" i="9"/>
  <c r="G64" i="2" s="1"/>
  <c r="C25" i="9"/>
  <c r="D65" i="2" s="1"/>
  <c r="D25" i="9"/>
  <c r="E65" i="2" s="1"/>
  <c r="E25" i="9"/>
  <c r="F65" i="2" s="1"/>
  <c r="F25" i="9"/>
  <c r="G65" i="2" s="1"/>
  <c r="C26" i="9"/>
  <c r="D66" i="2" s="1"/>
  <c r="D26" i="9"/>
  <c r="E66" i="2" s="1"/>
  <c r="E26" i="9"/>
  <c r="F66" i="2" s="1"/>
  <c r="F26" i="9"/>
  <c r="G66" i="2" s="1"/>
  <c r="C27" i="9"/>
  <c r="D67" i="2" s="1"/>
  <c r="D27" i="9"/>
  <c r="E67" i="2" s="1"/>
  <c r="E27" i="9"/>
  <c r="F67" i="2" s="1"/>
  <c r="F27" i="9"/>
  <c r="G67" i="2" s="1"/>
  <c r="C28" i="9"/>
  <c r="D68" i="2" s="1"/>
  <c r="D28" i="9"/>
  <c r="E68" i="2" s="1"/>
  <c r="E28" i="9"/>
  <c r="F68" i="2" s="1"/>
  <c r="F28" i="9"/>
  <c r="G68" i="2" s="1"/>
  <c r="C29" i="9"/>
  <c r="D69" i="2" s="1"/>
  <c r="D29" i="9"/>
  <c r="E69" i="2" s="1"/>
  <c r="E29" i="9"/>
  <c r="F69" i="2" s="1"/>
  <c r="F29" i="9"/>
  <c r="G69" i="2" s="1"/>
  <c r="C30" i="9"/>
  <c r="D70" i="2" s="1"/>
  <c r="D30" i="9"/>
  <c r="E70" i="2" s="1"/>
  <c r="E30" i="9"/>
  <c r="F70" i="2" s="1"/>
  <c r="F30" i="9"/>
  <c r="G70" i="2" s="1"/>
  <c r="C31" i="9"/>
  <c r="D71" i="2" s="1"/>
  <c r="D31" i="9"/>
  <c r="E71" i="2" s="1"/>
  <c r="E31" i="9"/>
  <c r="F71" i="2" s="1"/>
  <c r="F31" i="9"/>
  <c r="G71" i="2" s="1"/>
  <c r="C32" i="9"/>
  <c r="D72" i="2" s="1"/>
  <c r="D32" i="9"/>
  <c r="E72" i="2" s="1"/>
  <c r="E32" i="9"/>
  <c r="F72" i="2" s="1"/>
  <c r="F32" i="9"/>
  <c r="G72" i="2" s="1"/>
  <c r="C33" i="9"/>
  <c r="D73" i="2" s="1"/>
  <c r="D33" i="9"/>
  <c r="E73" i="2" s="1"/>
  <c r="E33" i="9"/>
  <c r="F73" i="2" s="1"/>
  <c r="F33" i="9"/>
  <c r="G73" i="2" s="1"/>
  <c r="C34" i="9"/>
  <c r="D74" i="2" s="1"/>
  <c r="D34" i="9"/>
  <c r="E74" i="2" s="1"/>
  <c r="E34" i="9"/>
  <c r="F74" i="2" s="1"/>
  <c r="F34" i="9"/>
  <c r="G74" i="2" s="1"/>
  <c r="C35" i="9"/>
  <c r="D75" i="2" s="1"/>
  <c r="D35" i="9"/>
  <c r="E75" i="2" s="1"/>
  <c r="E35" i="9"/>
  <c r="F75" i="2" s="1"/>
  <c r="F35" i="9"/>
  <c r="G75" i="2" s="1"/>
  <c r="C36" i="9"/>
  <c r="D76" i="2" s="1"/>
  <c r="D36" i="9"/>
  <c r="E76" i="2" s="1"/>
  <c r="E36" i="9"/>
  <c r="F76" i="2" s="1"/>
  <c r="F36" i="9"/>
  <c r="G76" i="2" s="1"/>
  <c r="C37" i="9"/>
  <c r="D77" i="2" s="1"/>
  <c r="D37" i="9"/>
  <c r="E77" i="2" s="1"/>
  <c r="E37" i="9"/>
  <c r="F77" i="2" s="1"/>
  <c r="F37" i="9"/>
  <c r="G77" i="2" s="1"/>
  <c r="B3" i="9"/>
  <c r="C43" i="2" s="1"/>
  <c r="B4" i="9"/>
  <c r="C44" i="2" s="1"/>
  <c r="B5" i="9"/>
  <c r="C45" i="2" s="1"/>
  <c r="B6" i="9"/>
  <c r="C46" i="2" s="1"/>
  <c r="B7" i="9"/>
  <c r="C47" i="2" s="1"/>
  <c r="B8" i="9"/>
  <c r="C48" i="2" s="1"/>
  <c r="B9" i="9"/>
  <c r="C49" i="2" s="1"/>
  <c r="B10" i="9"/>
  <c r="C50" i="2" s="1"/>
  <c r="B11" i="9"/>
  <c r="C51" i="2" s="1"/>
  <c r="B12" i="9"/>
  <c r="C52" i="2" s="1"/>
  <c r="B13" i="9"/>
  <c r="C53" i="2" s="1"/>
  <c r="B14" i="9"/>
  <c r="C54" i="2" s="1"/>
  <c r="B15" i="9"/>
  <c r="C55" i="2" s="1"/>
  <c r="B16" i="9"/>
  <c r="C56" i="2" s="1"/>
  <c r="B17" i="9"/>
  <c r="C57" i="2" s="1"/>
  <c r="B18" i="9"/>
  <c r="C58" i="2" s="1"/>
  <c r="B19" i="9"/>
  <c r="C59" i="2" s="1"/>
  <c r="B20" i="9"/>
  <c r="C60" i="2" s="1"/>
  <c r="B21" i="9"/>
  <c r="C61" i="2" s="1"/>
  <c r="B22" i="9"/>
  <c r="C62" i="2" s="1"/>
  <c r="B23" i="9"/>
  <c r="C63" i="2" s="1"/>
  <c r="B24" i="9"/>
  <c r="C64" i="2" s="1"/>
  <c r="B25" i="9"/>
  <c r="C65" i="2" s="1"/>
  <c r="B26" i="9"/>
  <c r="C66" i="2" s="1"/>
  <c r="B27" i="9"/>
  <c r="C67" i="2" s="1"/>
  <c r="B28" i="9"/>
  <c r="C68" i="2" s="1"/>
  <c r="B29" i="9"/>
  <c r="C69" i="2" s="1"/>
  <c r="B30" i="9"/>
  <c r="C70" i="2" s="1"/>
  <c r="B31" i="9"/>
  <c r="C71" i="2" s="1"/>
  <c r="B32" i="9"/>
  <c r="C72" i="2" s="1"/>
  <c r="B33" i="9"/>
  <c r="C73" i="2" s="1"/>
  <c r="B34" i="9"/>
  <c r="C74" i="2" s="1"/>
  <c r="B35" i="9"/>
  <c r="C75" i="2" s="1"/>
  <c r="B36" i="9"/>
  <c r="C76" i="2" s="1"/>
  <c r="B37" i="9"/>
  <c r="C77" i="2" s="1"/>
  <c r="B2" i="9"/>
  <c r="C42" i="2" s="1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2" i="9"/>
  <c r="T19" i="9" s="1"/>
  <c r="Z5" i="9"/>
  <c r="AA5" i="9"/>
  <c r="X4" i="9"/>
  <c r="X5" i="9" s="1"/>
  <c r="Y4" i="9"/>
  <c r="Y5" i="9" s="1"/>
  <c r="Z4" i="9"/>
  <c r="AA4" i="9"/>
  <c r="AB4" i="9"/>
  <c r="AB5" i="9" s="1"/>
  <c r="W4" i="9"/>
  <c r="W5" i="9" s="1"/>
  <c r="E6" i="13" l="1"/>
  <c r="H6" i="13"/>
  <c r="G6" i="13"/>
  <c r="F6" i="13"/>
  <c r="D6" i="13"/>
  <c r="C6" i="13"/>
  <c r="D7" i="13"/>
  <c r="M5" i="17"/>
  <c r="M4" i="17"/>
  <c r="I4" i="17" s="1"/>
  <c r="E4" i="17" s="1"/>
  <c r="G5" i="13"/>
  <c r="H5" i="13"/>
  <c r="E5" i="13"/>
  <c r="F5" i="13"/>
  <c r="D5" i="13"/>
  <c r="H7" i="13"/>
  <c r="N4" i="17"/>
  <c r="J4" i="17" s="1"/>
  <c r="F4" i="17" s="1"/>
  <c r="N5" i="17"/>
  <c r="L5" i="17"/>
  <c r="O5" i="17"/>
  <c r="U38" i="2"/>
  <c r="I6" i="13" l="1"/>
  <c r="I7" i="13"/>
  <c r="I5" i="13"/>
  <c r="L6" i="17"/>
  <c r="H5" i="17"/>
  <c r="D5" i="17" s="1"/>
  <c r="N6" i="17"/>
  <c r="J5" i="17"/>
  <c r="F5" i="17" s="1"/>
  <c r="O6" i="17"/>
  <c r="K5" i="17"/>
  <c r="G5" i="17" s="1"/>
  <c r="M6" i="17"/>
  <c r="I5" i="17"/>
  <c r="E5" i="17" s="1"/>
  <c r="C10" i="2"/>
  <c r="C11" i="2"/>
  <c r="C18" i="2"/>
  <c r="C19" i="2"/>
  <c r="C26" i="2"/>
  <c r="C27" i="2"/>
  <c r="C34" i="2"/>
  <c r="C35" i="2"/>
  <c r="C4" i="2"/>
  <c r="C5" i="2"/>
  <c r="C6" i="2"/>
  <c r="C7" i="2"/>
  <c r="C8" i="2"/>
  <c r="C9" i="2"/>
  <c r="C12" i="2"/>
  <c r="C13" i="2"/>
  <c r="C14" i="2"/>
  <c r="C15" i="2"/>
  <c r="C16" i="2"/>
  <c r="C17" i="2"/>
  <c r="C20" i="2"/>
  <c r="C21" i="2"/>
  <c r="C22" i="2"/>
  <c r="C23" i="2"/>
  <c r="C24" i="2"/>
  <c r="C25" i="2"/>
  <c r="C28" i="2"/>
  <c r="C29" i="2"/>
  <c r="C30" i="2"/>
  <c r="C31" i="2"/>
  <c r="C32" i="2"/>
  <c r="C33" i="2"/>
  <c r="C36" i="2"/>
  <c r="C37" i="2"/>
  <c r="C38" i="2"/>
  <c r="C3" i="2"/>
  <c r="M7" i="17" l="1"/>
  <c r="I6" i="17"/>
  <c r="E6" i="17" s="1"/>
  <c r="N7" i="17"/>
  <c r="J6" i="17"/>
  <c r="F6" i="17" s="1"/>
  <c r="O7" i="17"/>
  <c r="K6" i="17"/>
  <c r="G6" i="17" s="1"/>
  <c r="L7" i="17"/>
  <c r="H6" i="17"/>
  <c r="D6" i="17" s="1"/>
  <c r="L8" i="17" l="1"/>
  <c r="H7" i="17"/>
  <c r="D7" i="17" s="1"/>
  <c r="N8" i="17"/>
  <c r="J7" i="17"/>
  <c r="F7" i="17" s="1"/>
  <c r="O8" i="17"/>
  <c r="K7" i="17"/>
  <c r="G7" i="17" s="1"/>
  <c r="M8" i="17"/>
  <c r="I7" i="17"/>
  <c r="E7" i="17" s="1"/>
  <c r="AB28" i="6"/>
  <c r="AB29" i="6"/>
  <c r="AB30" i="6"/>
  <c r="AB31" i="6"/>
  <c r="AB32" i="6"/>
  <c r="AB33" i="6"/>
  <c r="AB34" i="6"/>
  <c r="AB35" i="6"/>
  <c r="AB27" i="6"/>
  <c r="V28" i="6"/>
  <c r="V29" i="6"/>
  <c r="V30" i="6"/>
  <c r="V31" i="6"/>
  <c r="V32" i="6"/>
  <c r="V33" i="6"/>
  <c r="V34" i="6"/>
  <c r="V35" i="6"/>
  <c r="V27" i="6"/>
  <c r="P28" i="6"/>
  <c r="P29" i="6"/>
  <c r="P30" i="6"/>
  <c r="P31" i="6"/>
  <c r="P32" i="6"/>
  <c r="P33" i="6"/>
  <c r="P34" i="6"/>
  <c r="P35" i="6"/>
  <c r="P27" i="6"/>
  <c r="M9" i="17" l="1"/>
  <c r="I8" i="17"/>
  <c r="E8" i="17" s="1"/>
  <c r="N9" i="17"/>
  <c r="J8" i="17"/>
  <c r="F8" i="17" s="1"/>
  <c r="O9" i="17"/>
  <c r="K8" i="17"/>
  <c r="G8" i="17" s="1"/>
  <c r="L9" i="17"/>
  <c r="H8" i="17"/>
  <c r="D8" i="17" s="1"/>
  <c r="AB36" i="6"/>
  <c r="P36" i="6"/>
  <c r="V36" i="6"/>
  <c r="L10" i="17" l="1"/>
  <c r="H9" i="17"/>
  <c r="D9" i="17" s="1"/>
  <c r="N10" i="17"/>
  <c r="J9" i="17"/>
  <c r="F9" i="17" s="1"/>
  <c r="O10" i="17"/>
  <c r="K9" i="17"/>
  <c r="G9" i="17" s="1"/>
  <c r="M10" i="17"/>
  <c r="I9" i="17"/>
  <c r="E9" i="17" s="1"/>
  <c r="AN11" i="7"/>
  <c r="AP11" i="7"/>
  <c r="AR11" i="7"/>
  <c r="AS11" i="7"/>
  <c r="AV11" i="7"/>
  <c r="AN14" i="7"/>
  <c r="AP14" i="7"/>
  <c r="AR14" i="7"/>
  <c r="AS14" i="7"/>
  <c r="AV14" i="7"/>
  <c r="AN17" i="7"/>
  <c r="AP17" i="7"/>
  <c r="AR17" i="7"/>
  <c r="AS17" i="7"/>
  <c r="AV17" i="7"/>
  <c r="AN20" i="7"/>
  <c r="AP20" i="7"/>
  <c r="AR20" i="7"/>
  <c r="AS20" i="7"/>
  <c r="AV20" i="7"/>
  <c r="AN23" i="7"/>
  <c r="AP23" i="7"/>
  <c r="AR23" i="7"/>
  <c r="AS23" i="7"/>
  <c r="AV23" i="7"/>
  <c r="AN24" i="7"/>
  <c r="AP24" i="7"/>
  <c r="AR24" i="7"/>
  <c r="AS24" i="7"/>
  <c r="AV24" i="7"/>
  <c r="AN27" i="7"/>
  <c r="AP27" i="7"/>
  <c r="AR27" i="7"/>
  <c r="AS27" i="7"/>
  <c r="AV27" i="7"/>
  <c r="AN30" i="7"/>
  <c r="AP30" i="7"/>
  <c r="AR30" i="7"/>
  <c r="AS30" i="7"/>
  <c r="AV30" i="7"/>
  <c r="AN33" i="7"/>
  <c r="AP33" i="7"/>
  <c r="AR33" i="7"/>
  <c r="AS33" i="7"/>
  <c r="AV33" i="7"/>
  <c r="AN36" i="7"/>
  <c r="AP36" i="7"/>
  <c r="AR36" i="7"/>
  <c r="AS36" i="7"/>
  <c r="AV36" i="7"/>
  <c r="AN39" i="7"/>
  <c r="AP39" i="7"/>
  <c r="AR39" i="7"/>
  <c r="AS39" i="7"/>
  <c r="AV39" i="7"/>
  <c r="AN42" i="7"/>
  <c r="AP42" i="7"/>
  <c r="AR42" i="7"/>
  <c r="AS42" i="7"/>
  <c r="AV42" i="7"/>
  <c r="AN45" i="7"/>
  <c r="AP45" i="7"/>
  <c r="AR45" i="7"/>
  <c r="AS45" i="7"/>
  <c r="AV45" i="7"/>
  <c r="AN46" i="7"/>
  <c r="AP46" i="7"/>
  <c r="AR46" i="7"/>
  <c r="AS46" i="7"/>
  <c r="AV46" i="7"/>
  <c r="AN49" i="7"/>
  <c r="AP49" i="7"/>
  <c r="AR49" i="7"/>
  <c r="AS49" i="7"/>
  <c r="AV49" i="7"/>
  <c r="AN52" i="7"/>
  <c r="AP52" i="7"/>
  <c r="AR52" i="7"/>
  <c r="AS52" i="7"/>
  <c r="AV52" i="7"/>
  <c r="AN55" i="7"/>
  <c r="AP55" i="7"/>
  <c r="AR55" i="7"/>
  <c r="AS55" i="7"/>
  <c r="AV55" i="7"/>
  <c r="AN56" i="7"/>
  <c r="AP56" i="7"/>
  <c r="AR56" i="7"/>
  <c r="AS56" i="7"/>
  <c r="AV56" i="7"/>
  <c r="AN59" i="7"/>
  <c r="AP59" i="7"/>
  <c r="AR59" i="7"/>
  <c r="AS59" i="7"/>
  <c r="AV59" i="7"/>
  <c r="AN62" i="7"/>
  <c r="AP62" i="7"/>
  <c r="AR62" i="7"/>
  <c r="AS62" i="7"/>
  <c r="AV62" i="7"/>
  <c r="AN65" i="7"/>
  <c r="AP65" i="7"/>
  <c r="AR65" i="7"/>
  <c r="AS65" i="7"/>
  <c r="AV65" i="7"/>
  <c r="AN66" i="7"/>
  <c r="AP66" i="7"/>
  <c r="AR66" i="7"/>
  <c r="AS66" i="7"/>
  <c r="AV66" i="7"/>
  <c r="AN69" i="7"/>
  <c r="AP69" i="7"/>
  <c r="AR69" i="7"/>
  <c r="AS69" i="7"/>
  <c r="AV69" i="7"/>
  <c r="AN72" i="7"/>
  <c r="AP72" i="7"/>
  <c r="AR72" i="7"/>
  <c r="AS72" i="7"/>
  <c r="AV72" i="7"/>
  <c r="AN75" i="7"/>
  <c r="AP75" i="7"/>
  <c r="AR75" i="7"/>
  <c r="AS75" i="7"/>
  <c r="AV75" i="7"/>
  <c r="AN76" i="7"/>
  <c r="AP76" i="7"/>
  <c r="AR76" i="7"/>
  <c r="AS76" i="7"/>
  <c r="AV76" i="7"/>
  <c r="AN79" i="7"/>
  <c r="AP79" i="7"/>
  <c r="AR79" i="7"/>
  <c r="AS79" i="7"/>
  <c r="AV79" i="7"/>
  <c r="AN82" i="7"/>
  <c r="AP82" i="7"/>
  <c r="AR82" i="7"/>
  <c r="AS82" i="7"/>
  <c r="AV82" i="7"/>
  <c r="AN85" i="7"/>
  <c r="AP85" i="7"/>
  <c r="AR85" i="7"/>
  <c r="AS85" i="7"/>
  <c r="AV85" i="7"/>
  <c r="AN105" i="7"/>
  <c r="AP105" i="7"/>
  <c r="AR105" i="7"/>
  <c r="AS105" i="7"/>
  <c r="AV105" i="7"/>
  <c r="AN106" i="7"/>
  <c r="AP106" i="7"/>
  <c r="AR106" i="7"/>
  <c r="AS106" i="7"/>
  <c r="AV106" i="7"/>
  <c r="AN107" i="7"/>
  <c r="AP107" i="7"/>
  <c r="AR107" i="7"/>
  <c r="AS107" i="7"/>
  <c r="AV107" i="7"/>
  <c r="AN119" i="7"/>
  <c r="AP119" i="7"/>
  <c r="AR119" i="7"/>
  <c r="AS119" i="7"/>
  <c r="AV119" i="7"/>
  <c r="AN125" i="7"/>
  <c r="AP125" i="7"/>
  <c r="AR125" i="7"/>
  <c r="AS125" i="7"/>
  <c r="AV125" i="7"/>
  <c r="AN128" i="7"/>
  <c r="AP128" i="7"/>
  <c r="AR128" i="7"/>
  <c r="AS128" i="7"/>
  <c r="AV128" i="7"/>
  <c r="AN131" i="7"/>
  <c r="AP131" i="7"/>
  <c r="AR131" i="7"/>
  <c r="AS131" i="7"/>
  <c r="AV131" i="7"/>
  <c r="AN134" i="7"/>
  <c r="AP134" i="7"/>
  <c r="AR134" i="7"/>
  <c r="AS134" i="7"/>
  <c r="AV134" i="7"/>
  <c r="AN137" i="7"/>
  <c r="AP137" i="7"/>
  <c r="AR137" i="7"/>
  <c r="AS137" i="7"/>
  <c r="AV137" i="7"/>
  <c r="AN140" i="7"/>
  <c r="AP140" i="7"/>
  <c r="AR140" i="7"/>
  <c r="AS140" i="7"/>
  <c r="AV140" i="7"/>
  <c r="AN143" i="7"/>
  <c r="AP143" i="7"/>
  <c r="AR143" i="7"/>
  <c r="AS143" i="7"/>
  <c r="AV143" i="7"/>
  <c r="AN146" i="7"/>
  <c r="AP146" i="7"/>
  <c r="AR146" i="7"/>
  <c r="AS146" i="7"/>
  <c r="AV146" i="7"/>
  <c r="AN149" i="7"/>
  <c r="AP149" i="7"/>
  <c r="AR149" i="7"/>
  <c r="AS149" i="7"/>
  <c r="AV149" i="7"/>
  <c r="AN152" i="7"/>
  <c r="AP152" i="7"/>
  <c r="AR152" i="7"/>
  <c r="AS152" i="7"/>
  <c r="AV152" i="7"/>
  <c r="Y5" i="7"/>
  <c r="AA5" i="7" s="1"/>
  <c r="AB5" i="7" s="1"/>
  <c r="Y8" i="7"/>
  <c r="AA8" i="7" s="1"/>
  <c r="AB8" i="7" s="1"/>
  <c r="Y11" i="7"/>
  <c r="AA11" i="7" s="1"/>
  <c r="AB11" i="7" s="1"/>
  <c r="Y14" i="7"/>
  <c r="AA14" i="7" s="1"/>
  <c r="AB14" i="7" s="1"/>
  <c r="Y17" i="7"/>
  <c r="AA17" i="7" s="1"/>
  <c r="AB17" i="7" s="1"/>
  <c r="Y20" i="7"/>
  <c r="AA20" i="7" s="1"/>
  <c r="AB20" i="7" s="1"/>
  <c r="Y23" i="7"/>
  <c r="AA23" i="7" s="1"/>
  <c r="AB23" i="7" s="1"/>
  <c r="Y24" i="7"/>
  <c r="AA24" i="7" s="1"/>
  <c r="AB24" i="7" s="1"/>
  <c r="Y27" i="7"/>
  <c r="AA27" i="7" s="1"/>
  <c r="AB27" i="7" s="1"/>
  <c r="Y30" i="7"/>
  <c r="AA30" i="7" s="1"/>
  <c r="AB30" i="7" s="1"/>
  <c r="Y33" i="7"/>
  <c r="AA33" i="7" s="1"/>
  <c r="AB33" i="7" s="1"/>
  <c r="Y36" i="7"/>
  <c r="AA36" i="7" s="1"/>
  <c r="AB36" i="7" s="1"/>
  <c r="Y39" i="7"/>
  <c r="AA39" i="7" s="1"/>
  <c r="AB39" i="7" s="1"/>
  <c r="Y42" i="7"/>
  <c r="AA42" i="7" s="1"/>
  <c r="AB42" i="7" s="1"/>
  <c r="Y45" i="7"/>
  <c r="AA45" i="7" s="1"/>
  <c r="AB45" i="7" s="1"/>
  <c r="Y46" i="7"/>
  <c r="AA46" i="7" s="1"/>
  <c r="AB46" i="7" s="1"/>
  <c r="Y49" i="7"/>
  <c r="AA49" i="7" s="1"/>
  <c r="AB49" i="7" s="1"/>
  <c r="Y52" i="7"/>
  <c r="AA52" i="7" s="1"/>
  <c r="AB52" i="7" s="1"/>
  <c r="Y55" i="7"/>
  <c r="AA55" i="7" s="1"/>
  <c r="AB55" i="7" s="1"/>
  <c r="Y56" i="7"/>
  <c r="AA56" i="7" s="1"/>
  <c r="AB56" i="7" s="1"/>
  <c r="Y59" i="7"/>
  <c r="AA59" i="7" s="1"/>
  <c r="AB59" i="7" s="1"/>
  <c r="Y62" i="7"/>
  <c r="AA62" i="7" s="1"/>
  <c r="AB62" i="7" s="1"/>
  <c r="Y65" i="7"/>
  <c r="AA65" i="7" s="1"/>
  <c r="AB65" i="7" s="1"/>
  <c r="Y66" i="7"/>
  <c r="AA66" i="7" s="1"/>
  <c r="AB66" i="7" s="1"/>
  <c r="Y69" i="7"/>
  <c r="AA69" i="7" s="1"/>
  <c r="AB69" i="7" s="1"/>
  <c r="Y72" i="7"/>
  <c r="AA72" i="7" s="1"/>
  <c r="AB72" i="7" s="1"/>
  <c r="Y75" i="7"/>
  <c r="AA75" i="7" s="1"/>
  <c r="AB75" i="7" s="1"/>
  <c r="Y76" i="7"/>
  <c r="AA76" i="7" s="1"/>
  <c r="AB76" i="7" s="1"/>
  <c r="Y79" i="7"/>
  <c r="AA79" i="7" s="1"/>
  <c r="AB79" i="7" s="1"/>
  <c r="Y82" i="7"/>
  <c r="AA82" i="7" s="1"/>
  <c r="AB82" i="7" s="1"/>
  <c r="Y85" i="7"/>
  <c r="AA85" i="7" s="1"/>
  <c r="AB85" i="7" s="1"/>
  <c r="Y105" i="7"/>
  <c r="AA105" i="7" s="1"/>
  <c r="AB105" i="7" s="1"/>
  <c r="Y106" i="7"/>
  <c r="AA106" i="7" s="1"/>
  <c r="AB106" i="7" s="1"/>
  <c r="Y107" i="7"/>
  <c r="AA107" i="7" s="1"/>
  <c r="AB107" i="7" s="1"/>
  <c r="Y119" i="7"/>
  <c r="AA119" i="7" s="1"/>
  <c r="AB119" i="7" s="1"/>
  <c r="Y125" i="7"/>
  <c r="AA125" i="7" s="1"/>
  <c r="AB125" i="7" s="1"/>
  <c r="Y128" i="7"/>
  <c r="AA128" i="7" s="1"/>
  <c r="AB128" i="7" s="1"/>
  <c r="Y131" i="7"/>
  <c r="AA131" i="7" s="1"/>
  <c r="AB131" i="7" s="1"/>
  <c r="Y134" i="7"/>
  <c r="AA134" i="7" s="1"/>
  <c r="AB134" i="7" s="1"/>
  <c r="Y137" i="7"/>
  <c r="AA137" i="7" s="1"/>
  <c r="AB137" i="7" s="1"/>
  <c r="Y140" i="7"/>
  <c r="AA140" i="7" s="1"/>
  <c r="AB140" i="7" s="1"/>
  <c r="Y143" i="7"/>
  <c r="AA143" i="7" s="1"/>
  <c r="AB143" i="7" s="1"/>
  <c r="Y146" i="7"/>
  <c r="AA146" i="7" s="1"/>
  <c r="AB146" i="7" s="1"/>
  <c r="Y149" i="7"/>
  <c r="AA149" i="7" s="1"/>
  <c r="AB149" i="7" s="1"/>
  <c r="Y152" i="7"/>
  <c r="AA152" i="7" s="1"/>
  <c r="AB152" i="7" s="1"/>
  <c r="Y2" i="7"/>
  <c r="AA2" i="7" s="1"/>
  <c r="AB2" i="7" s="1"/>
  <c r="O3" i="16"/>
  <c r="AB248" i="7" l="1"/>
  <c r="AW49" i="7"/>
  <c r="AW137" i="7"/>
  <c r="AX137" i="7" s="1"/>
  <c r="AY137" i="7" s="1"/>
  <c r="AW105" i="7"/>
  <c r="AW66" i="7"/>
  <c r="AX66" i="7" s="1"/>
  <c r="AY66" i="7" s="1"/>
  <c r="AW46" i="7"/>
  <c r="AW24" i="7"/>
  <c r="AX24" i="7" s="1"/>
  <c r="AY24" i="7" s="1"/>
  <c r="AW134" i="7"/>
  <c r="AX134" i="7" s="1"/>
  <c r="AY134" i="7" s="1"/>
  <c r="AW85" i="7"/>
  <c r="AX85" i="7" s="1"/>
  <c r="AY85" i="7" s="1"/>
  <c r="AW65" i="7"/>
  <c r="AW45" i="7"/>
  <c r="AX45" i="7" s="1"/>
  <c r="AY45" i="7" s="1"/>
  <c r="AW23" i="7"/>
  <c r="AW106" i="7"/>
  <c r="AX106" i="7" s="1"/>
  <c r="AY106" i="7" s="1"/>
  <c r="AW27" i="7"/>
  <c r="AW131" i="7"/>
  <c r="AX131" i="7" s="1"/>
  <c r="AY131" i="7" s="1"/>
  <c r="AW79" i="7"/>
  <c r="AX79" i="7" s="1"/>
  <c r="AY79" i="7" s="1"/>
  <c r="AW39" i="7"/>
  <c r="AX39" i="7" s="1"/>
  <c r="AY39" i="7" s="1"/>
  <c r="AW125" i="7"/>
  <c r="AW56" i="7"/>
  <c r="AW14" i="7"/>
  <c r="AW140" i="7"/>
  <c r="AX140" i="7" s="1"/>
  <c r="AY140" i="7" s="1"/>
  <c r="AW69" i="7"/>
  <c r="AW62" i="7"/>
  <c r="AX62" i="7" s="1"/>
  <c r="AY62" i="7" s="1"/>
  <c r="AW42" i="7"/>
  <c r="AX42" i="7" s="1"/>
  <c r="AY42" i="7" s="1"/>
  <c r="AW152" i="7"/>
  <c r="AX152" i="7" s="1"/>
  <c r="AY152" i="7" s="1"/>
  <c r="AW59" i="7"/>
  <c r="AW149" i="7"/>
  <c r="AW76" i="7"/>
  <c r="AW36" i="7"/>
  <c r="AX36" i="7" s="1"/>
  <c r="AY36" i="7" s="1"/>
  <c r="AW146" i="7"/>
  <c r="AW119" i="7"/>
  <c r="AX119" i="7" s="1"/>
  <c r="AY119" i="7" s="1"/>
  <c r="AW75" i="7"/>
  <c r="AX75" i="7" s="1"/>
  <c r="AY75" i="7" s="1"/>
  <c r="AW55" i="7"/>
  <c r="AX55" i="7" s="1"/>
  <c r="AY55" i="7" s="1"/>
  <c r="AW33" i="7"/>
  <c r="AW11" i="7"/>
  <c r="AX11" i="7" s="1"/>
  <c r="AY11" i="7" s="1"/>
  <c r="AW82" i="7"/>
  <c r="AW20" i="7"/>
  <c r="AX20" i="7" s="1"/>
  <c r="AY20" i="7" s="1"/>
  <c r="AW128" i="7"/>
  <c r="AW17" i="7"/>
  <c r="AX17" i="7" s="1"/>
  <c r="AY17" i="7" s="1"/>
  <c r="AW143" i="7"/>
  <c r="AX143" i="7" s="1"/>
  <c r="AY143" i="7" s="1"/>
  <c r="AW107" i="7"/>
  <c r="AX107" i="7" s="1"/>
  <c r="AY107" i="7" s="1"/>
  <c r="AW72" i="7"/>
  <c r="AW52" i="7"/>
  <c r="AX52" i="7" s="1"/>
  <c r="AY52" i="7" s="1"/>
  <c r="AW30" i="7"/>
  <c r="AX30" i="7" s="1"/>
  <c r="AY30" i="7" s="1"/>
  <c r="AL39" i="7"/>
  <c r="AM39" i="7" s="1"/>
  <c r="AX125" i="7"/>
  <c r="AY125" i="7" s="1"/>
  <c r="AL69" i="7"/>
  <c r="AM69" i="7" s="1"/>
  <c r="AL20" i="7"/>
  <c r="AM20" i="7" s="1"/>
  <c r="M11" i="17"/>
  <c r="I10" i="17"/>
  <c r="E10" i="17" s="1"/>
  <c r="N11" i="17"/>
  <c r="J10" i="17"/>
  <c r="F10" i="17" s="1"/>
  <c r="O11" i="17"/>
  <c r="K10" i="17"/>
  <c r="G10" i="17" s="1"/>
  <c r="L11" i="17"/>
  <c r="H10" i="17"/>
  <c r="D10" i="17" s="1"/>
  <c r="AX27" i="7"/>
  <c r="AY27" i="7" s="1"/>
  <c r="AL146" i="7"/>
  <c r="AM146" i="7" s="1"/>
  <c r="AL143" i="7"/>
  <c r="AM143" i="7" s="1"/>
  <c r="AL140" i="7"/>
  <c r="AM140" i="7" s="1"/>
  <c r="AL105" i="7"/>
  <c r="AM105" i="7" s="1"/>
  <c r="AL62" i="7"/>
  <c r="AM62" i="7" s="1"/>
  <c r="AL14" i="7"/>
  <c r="AM14" i="7" s="1"/>
  <c r="AL36" i="7"/>
  <c r="AM36" i="7" s="1"/>
  <c r="AT59" i="7"/>
  <c r="AU59" i="7" s="1"/>
  <c r="AT69" i="7"/>
  <c r="AU69" i="7" s="1"/>
  <c r="AL55" i="7"/>
  <c r="AM55" i="7" s="1"/>
  <c r="AL107" i="7"/>
  <c r="AM107" i="7" s="1"/>
  <c r="AL79" i="7"/>
  <c r="AM79" i="7" s="1"/>
  <c r="AL152" i="7"/>
  <c r="AM152" i="7" s="1"/>
  <c r="AL76" i="7"/>
  <c r="AM76" i="7" s="1"/>
  <c r="AL59" i="7"/>
  <c r="AM59" i="7" s="1"/>
  <c r="AL24" i="7"/>
  <c r="AM24" i="7" s="1"/>
  <c r="AL11" i="7"/>
  <c r="AM11" i="7" s="1"/>
  <c r="AL106" i="7"/>
  <c r="AM106" i="7" s="1"/>
  <c r="AL65" i="7"/>
  <c r="AM65" i="7" s="1"/>
  <c r="AL134" i="7"/>
  <c r="AM134" i="7" s="1"/>
  <c r="AX59" i="7"/>
  <c r="AY59" i="7" s="1"/>
  <c r="AL149" i="7"/>
  <c r="AM149" i="7" s="1"/>
  <c r="AL125" i="7"/>
  <c r="AM125" i="7" s="1"/>
  <c r="AL17" i="7"/>
  <c r="AM17" i="7" s="1"/>
  <c r="AL49" i="7"/>
  <c r="AM49" i="7" s="1"/>
  <c r="AL27" i="7"/>
  <c r="AM27" i="7" s="1"/>
  <c r="AL46" i="7"/>
  <c r="AM46" i="7" s="1"/>
  <c r="AT52" i="7"/>
  <c r="AU52" i="7" s="1"/>
  <c r="AG52" i="7"/>
  <c r="AH52" i="7" s="1"/>
  <c r="AG39" i="7"/>
  <c r="AH39" i="7" s="1"/>
  <c r="AT56" i="7"/>
  <c r="AU56" i="7" s="1"/>
  <c r="AT39" i="7"/>
  <c r="AU39" i="7" s="1"/>
  <c r="AG20" i="7"/>
  <c r="AH20" i="7" s="1"/>
  <c r="AT49" i="7"/>
  <c r="AU49" i="7" s="1"/>
  <c r="AT23" i="7"/>
  <c r="AU23" i="7" s="1"/>
  <c r="AT27" i="7"/>
  <c r="AU27" i="7" s="1"/>
  <c r="AT14" i="7"/>
  <c r="AU14" i="7" s="1"/>
  <c r="AG66" i="7"/>
  <c r="AH66" i="7" s="1"/>
  <c r="AG14" i="7"/>
  <c r="AH14" i="7" s="1"/>
  <c r="AT137" i="7"/>
  <c r="AU137" i="7" s="1"/>
  <c r="AT79" i="7"/>
  <c r="AU79" i="7" s="1"/>
  <c r="AT152" i="7"/>
  <c r="AU152" i="7" s="1"/>
  <c r="AT24" i="7"/>
  <c r="AU24" i="7" s="1"/>
  <c r="AT134" i="7"/>
  <c r="AU134" i="7" s="1"/>
  <c r="AT106" i="7"/>
  <c r="AU106" i="7" s="1"/>
  <c r="AT76" i="7"/>
  <c r="AU76" i="7" s="1"/>
  <c r="AT65" i="7"/>
  <c r="AU65" i="7" s="1"/>
  <c r="AT105" i="7"/>
  <c r="AU105" i="7" s="1"/>
  <c r="AT75" i="7"/>
  <c r="AU75" i="7" s="1"/>
  <c r="AT82" i="7"/>
  <c r="AU82" i="7" s="1"/>
  <c r="AT146" i="7"/>
  <c r="AU146" i="7" s="1"/>
  <c r="AG131" i="7"/>
  <c r="AH131" i="7" s="1"/>
  <c r="AG107" i="7"/>
  <c r="AH107" i="7" s="1"/>
  <c r="AT62" i="7"/>
  <c r="AU62" i="7" s="1"/>
  <c r="AG62" i="7"/>
  <c r="AH62" i="7" s="1"/>
  <c r="AT42" i="7"/>
  <c r="AU42" i="7" s="1"/>
  <c r="AT46" i="7"/>
  <c r="AU46" i="7" s="1"/>
  <c r="AG24" i="7"/>
  <c r="AH24" i="7" s="1"/>
  <c r="AG143" i="7"/>
  <c r="AH143" i="7" s="1"/>
  <c r="AT72" i="7"/>
  <c r="AU72" i="7" s="1"/>
  <c r="AT119" i="7"/>
  <c r="AU119" i="7" s="1"/>
  <c r="AT85" i="7"/>
  <c r="AU85" i="7" s="1"/>
  <c r="AG149" i="7"/>
  <c r="AH149" i="7" s="1"/>
  <c r="AG82" i="7"/>
  <c r="AH82" i="7" s="1"/>
  <c r="AG42" i="7"/>
  <c r="AH42" i="7" s="1"/>
  <c r="AT30" i="7"/>
  <c r="AU30" i="7" s="1"/>
  <c r="AX128" i="7"/>
  <c r="AY128" i="7" s="1"/>
  <c r="AT128" i="7"/>
  <c r="AU128" i="7" s="1"/>
  <c r="AT107" i="7"/>
  <c r="AU107" i="7" s="1"/>
  <c r="AX69" i="7"/>
  <c r="AY69" i="7" s="1"/>
  <c r="AT45" i="7"/>
  <c r="AU45" i="7" s="1"/>
  <c r="AG65" i="7"/>
  <c r="AH65" i="7" s="1"/>
  <c r="AL137" i="7"/>
  <c r="AM137" i="7" s="1"/>
  <c r="AL131" i="7"/>
  <c r="AM131" i="7" s="1"/>
  <c r="AG56" i="7"/>
  <c r="AH56" i="7" s="1"/>
  <c r="AT20" i="7"/>
  <c r="AU20" i="7" s="1"/>
  <c r="AL23" i="7"/>
  <c r="AM23" i="7" s="1"/>
  <c r="AT33" i="7"/>
  <c r="AU33" i="7" s="1"/>
  <c r="AL30" i="7"/>
  <c r="AM30" i="7" s="1"/>
  <c r="AT143" i="7"/>
  <c r="AU143" i="7" s="1"/>
  <c r="AG105" i="7"/>
  <c r="AH105" i="7" s="1"/>
  <c r="AL72" i="7"/>
  <c r="AM72" i="7" s="1"/>
  <c r="AL66" i="7"/>
  <c r="AM66" i="7" s="1"/>
  <c r="AX76" i="7"/>
  <c r="AY76" i="7" s="1"/>
  <c r="AG137" i="7"/>
  <c r="AH137" i="7" s="1"/>
  <c r="AT131" i="7"/>
  <c r="AU131" i="7" s="1"/>
  <c r="AL119" i="7"/>
  <c r="AM119" i="7" s="1"/>
  <c r="AL85" i="7"/>
  <c r="AM85" i="7" s="1"/>
  <c r="AT55" i="7"/>
  <c r="AU55" i="7" s="1"/>
  <c r="AG46" i="7"/>
  <c r="AH46" i="7" s="1"/>
  <c r="AL45" i="7"/>
  <c r="AM45" i="7" s="1"/>
  <c r="AT125" i="7"/>
  <c r="AU125" i="7" s="1"/>
  <c r="AG106" i="7"/>
  <c r="AH106" i="7" s="1"/>
  <c r="AG72" i="7"/>
  <c r="AH72" i="7" s="1"/>
  <c r="AT66" i="7"/>
  <c r="AU66" i="7" s="1"/>
  <c r="AL56" i="7"/>
  <c r="AM56" i="7" s="1"/>
  <c r="AG55" i="7"/>
  <c r="AH55" i="7" s="1"/>
  <c r="AL52" i="7"/>
  <c r="AM52" i="7" s="1"/>
  <c r="AT36" i="7"/>
  <c r="AU36" i="7" s="1"/>
  <c r="AG23" i="7"/>
  <c r="AH23" i="7" s="1"/>
  <c r="AT17" i="7"/>
  <c r="AU17" i="7" s="1"/>
  <c r="AG119" i="7"/>
  <c r="AH119" i="7" s="1"/>
  <c r="AL82" i="7"/>
  <c r="AM82" i="7" s="1"/>
  <c r="AG76" i="7"/>
  <c r="AH76" i="7" s="1"/>
  <c r="AL75" i="7"/>
  <c r="AM75" i="7" s="1"/>
  <c r="AG49" i="7"/>
  <c r="AH49" i="7" s="1"/>
  <c r="AG30" i="7"/>
  <c r="AH30" i="7" s="1"/>
  <c r="AG17" i="7"/>
  <c r="AH17" i="7" s="1"/>
  <c r="AT149" i="7"/>
  <c r="AU149" i="7" s="1"/>
  <c r="AT140" i="7"/>
  <c r="AU140" i="7" s="1"/>
  <c r="AL128" i="7"/>
  <c r="AM128" i="7" s="1"/>
  <c r="AG125" i="7"/>
  <c r="AH125" i="7" s="1"/>
  <c r="AL42" i="7"/>
  <c r="AM42" i="7" s="1"/>
  <c r="AG36" i="7"/>
  <c r="AH36" i="7" s="1"/>
  <c r="AL33" i="7"/>
  <c r="AM33" i="7" s="1"/>
  <c r="AT11" i="7"/>
  <c r="AU11" i="7" s="1"/>
  <c r="AG11" i="7"/>
  <c r="AH11" i="7" s="1"/>
  <c r="AX65" i="7"/>
  <c r="AY65" i="7" s="1"/>
  <c r="AX149" i="7"/>
  <c r="AY149" i="7" s="1"/>
  <c r="AX105" i="7"/>
  <c r="AY105" i="7" s="1"/>
  <c r="AX23" i="7"/>
  <c r="AY23" i="7" s="1"/>
  <c r="AX56" i="7"/>
  <c r="AY56" i="7" s="1"/>
  <c r="AX46" i="7"/>
  <c r="AY46" i="7" s="1"/>
  <c r="AX33" i="7"/>
  <c r="AY33" i="7" s="1"/>
  <c r="AX49" i="7"/>
  <c r="AY49" i="7" s="1"/>
  <c r="AX82" i="7"/>
  <c r="AY82" i="7" s="1"/>
  <c r="AX14" i="7"/>
  <c r="AY14" i="7" s="1"/>
  <c r="AX72" i="7"/>
  <c r="AY72" i="7" s="1"/>
  <c r="AX146" i="7"/>
  <c r="AY146" i="7" s="1"/>
  <c r="AG45" i="7"/>
  <c r="AH45" i="7" s="1"/>
  <c r="AG69" i="7"/>
  <c r="AH69" i="7" s="1"/>
  <c r="AG152" i="7"/>
  <c r="AH152" i="7" s="1"/>
  <c r="AG85" i="7"/>
  <c r="AH85" i="7" s="1"/>
  <c r="AG59" i="7"/>
  <c r="AH59" i="7" s="1"/>
  <c r="AG140" i="7"/>
  <c r="AH140" i="7" s="1"/>
  <c r="AG75" i="7"/>
  <c r="AH75" i="7" s="1"/>
  <c r="AG33" i="7"/>
  <c r="AH33" i="7" s="1"/>
  <c r="AG134" i="7"/>
  <c r="AH134" i="7" s="1"/>
  <c r="AG27" i="7"/>
  <c r="AH27" i="7" s="1"/>
  <c r="AG128" i="7"/>
  <c r="AH128" i="7" s="1"/>
  <c r="AG146" i="7"/>
  <c r="AH146" i="7" s="1"/>
  <c r="AG79" i="7"/>
  <c r="AH79" i="7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6"/>
  <c r="M12" i="17" l="1"/>
  <c r="I11" i="17"/>
  <c r="E11" i="17" s="1"/>
  <c r="L12" i="17"/>
  <c r="H11" i="17"/>
  <c r="D11" i="17" s="1"/>
  <c r="O12" i="17"/>
  <c r="K11" i="17"/>
  <c r="G11" i="17" s="1"/>
  <c r="N12" i="17"/>
  <c r="J11" i="17"/>
  <c r="F11" i="17" s="1"/>
  <c r="V10" i="6"/>
  <c r="V3" i="6"/>
  <c r="V4" i="6"/>
  <c r="V5" i="6"/>
  <c r="V6" i="6"/>
  <c r="V7" i="6"/>
  <c r="V8" i="6"/>
  <c r="V9" i="6"/>
  <c r="V2" i="6"/>
  <c r="P3" i="6"/>
  <c r="P4" i="6"/>
  <c r="P5" i="6"/>
  <c r="P6" i="6"/>
  <c r="P7" i="6"/>
  <c r="P8" i="6"/>
  <c r="P9" i="6"/>
  <c r="P10" i="6"/>
  <c r="P2" i="6"/>
  <c r="N13" i="17" l="1"/>
  <c r="J12" i="17"/>
  <c r="F12" i="17" s="1"/>
  <c r="L13" i="17"/>
  <c r="H12" i="17"/>
  <c r="D12" i="17" s="1"/>
  <c r="O13" i="17"/>
  <c r="K12" i="17"/>
  <c r="G12" i="17" s="1"/>
  <c r="M13" i="17"/>
  <c r="I12" i="17"/>
  <c r="E12" i="17" s="1"/>
  <c r="P11" i="6"/>
  <c r="V11" i="6"/>
  <c r="F12" i="1"/>
  <c r="F13" i="1"/>
  <c r="F11" i="1"/>
  <c r="B26" i="1" s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3" i="2"/>
  <c r="M14" i="17" l="1"/>
  <c r="I13" i="17"/>
  <c r="E13" i="17" s="1"/>
  <c r="L14" i="17"/>
  <c r="H13" i="17"/>
  <c r="D13" i="17" s="1"/>
  <c r="O14" i="17"/>
  <c r="K13" i="17"/>
  <c r="G13" i="17" s="1"/>
  <c r="N14" i="17"/>
  <c r="J13" i="17"/>
  <c r="F13" i="17" s="1"/>
  <c r="N43" i="2"/>
  <c r="O43" i="2"/>
  <c r="M43" i="2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P43" i="2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Q43" i="2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N44" i="2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S12" i="13"/>
  <c r="S13" i="13"/>
  <c r="S14" i="13"/>
  <c r="S15" i="13"/>
  <c r="S16" i="13"/>
  <c r="S11" i="13"/>
  <c r="E3" i="6"/>
  <c r="E4" i="6"/>
  <c r="E5" i="6"/>
  <c r="E6" i="6"/>
  <c r="E7" i="6"/>
  <c r="E8" i="6"/>
  <c r="E9" i="6"/>
  <c r="E10" i="6"/>
  <c r="E11" i="6"/>
  <c r="E12" i="6"/>
  <c r="E2" i="6"/>
  <c r="N15" i="17" l="1"/>
  <c r="J14" i="17"/>
  <c r="F14" i="17" s="1"/>
  <c r="L15" i="17"/>
  <c r="H14" i="17"/>
  <c r="D14" i="17" s="1"/>
  <c r="O15" i="17"/>
  <c r="K14" i="17"/>
  <c r="G14" i="17" s="1"/>
  <c r="M15" i="17"/>
  <c r="I14" i="17"/>
  <c r="E14" i="17" s="1"/>
  <c r="K12" i="13"/>
  <c r="K13" i="13"/>
  <c r="K14" i="13"/>
  <c r="K15" i="13"/>
  <c r="K16" i="13"/>
  <c r="K11" i="13"/>
  <c r="B15" i="13"/>
  <c r="B14" i="13"/>
  <c r="B16" i="13"/>
  <c r="F4" i="12"/>
  <c r="F5" i="12"/>
  <c r="F6" i="12"/>
  <c r="F3" i="12"/>
  <c r="E4" i="12"/>
  <c r="E3" i="12"/>
  <c r="M16" i="17" l="1"/>
  <c r="I15" i="17"/>
  <c r="E15" i="17" s="1"/>
  <c r="L16" i="17"/>
  <c r="H15" i="17"/>
  <c r="D15" i="17" s="1"/>
  <c r="O16" i="17"/>
  <c r="K15" i="17"/>
  <c r="G15" i="17" s="1"/>
  <c r="N16" i="17"/>
  <c r="J15" i="17"/>
  <c r="F15" i="17" s="1"/>
  <c r="E14" i="13"/>
  <c r="F14" i="13"/>
  <c r="C14" i="13"/>
  <c r="G14" i="13"/>
  <c r="H14" i="13"/>
  <c r="D14" i="13"/>
  <c r="H15" i="13"/>
  <c r="C15" i="13"/>
  <c r="E15" i="13"/>
  <c r="G15" i="13"/>
  <c r="D15" i="13"/>
  <c r="F15" i="13"/>
  <c r="E16" i="13"/>
  <c r="D16" i="13"/>
  <c r="C16" i="13"/>
  <c r="G16" i="13"/>
  <c r="H16" i="13"/>
  <c r="F16" i="13"/>
  <c r="N17" i="17" l="1"/>
  <c r="J16" i="17"/>
  <c r="F16" i="17" s="1"/>
  <c r="L17" i="17"/>
  <c r="H16" i="17"/>
  <c r="D16" i="17" s="1"/>
  <c r="I14" i="13"/>
  <c r="O17" i="17"/>
  <c r="K16" i="17"/>
  <c r="G16" i="17" s="1"/>
  <c r="M17" i="17"/>
  <c r="I16" i="17"/>
  <c r="E16" i="17" s="1"/>
  <c r="I15" i="13"/>
  <c r="I16" i="13"/>
  <c r="M18" i="17" l="1"/>
  <c r="I17" i="17"/>
  <c r="E17" i="17" s="1"/>
  <c r="L18" i="17"/>
  <c r="H17" i="17"/>
  <c r="D17" i="17" s="1"/>
  <c r="O18" i="17"/>
  <c r="K17" i="17"/>
  <c r="G17" i="17" s="1"/>
  <c r="N18" i="17"/>
  <c r="J17" i="17"/>
  <c r="F17" i="17" s="1"/>
  <c r="D9" i="14"/>
  <c r="E9" i="14"/>
  <c r="J9" i="14"/>
  <c r="E2" i="14"/>
  <c r="D2" i="14"/>
  <c r="D26" i="14"/>
  <c r="E26" i="14"/>
  <c r="J26" i="14"/>
  <c r="N19" i="17" l="1"/>
  <c r="J18" i="17"/>
  <c r="F18" i="17" s="1"/>
  <c r="L19" i="17"/>
  <c r="H18" i="17"/>
  <c r="D18" i="17" s="1"/>
  <c r="O19" i="17"/>
  <c r="K18" i="17"/>
  <c r="G18" i="17" s="1"/>
  <c r="M19" i="17"/>
  <c r="I18" i="17"/>
  <c r="E18" i="17" s="1"/>
  <c r="N29" i="4"/>
  <c r="N28" i="4"/>
  <c r="M22" i="4"/>
  <c r="J29" i="4" s="1"/>
  <c r="M21" i="4"/>
  <c r="K28" i="4" s="1"/>
  <c r="L20" i="17" l="1"/>
  <c r="H19" i="17"/>
  <c r="D19" i="17" s="1"/>
  <c r="M20" i="17"/>
  <c r="I19" i="17"/>
  <c r="E19" i="17" s="1"/>
  <c r="O20" i="17"/>
  <c r="K19" i="17"/>
  <c r="G19" i="17" s="1"/>
  <c r="N20" i="17"/>
  <c r="J19" i="17"/>
  <c r="F19" i="17" s="1"/>
  <c r="L28" i="4"/>
  <c r="M28" i="4"/>
  <c r="J28" i="4"/>
  <c r="K29" i="4"/>
  <c r="L29" i="4"/>
  <c r="M29" i="4"/>
  <c r="O21" i="17" l="1"/>
  <c r="K20" i="17"/>
  <c r="G20" i="17" s="1"/>
  <c r="N21" i="17"/>
  <c r="J20" i="17"/>
  <c r="F20" i="17" s="1"/>
  <c r="M21" i="17"/>
  <c r="I20" i="17"/>
  <c r="E20" i="17" s="1"/>
  <c r="J24" i="4"/>
  <c r="L21" i="17"/>
  <c r="H20" i="17"/>
  <c r="D20" i="17" s="1"/>
  <c r="Y3" i="12"/>
  <c r="B3" i="13" s="1"/>
  <c r="Y4" i="12"/>
  <c r="B4" i="13" s="1"/>
  <c r="Y2" i="12"/>
  <c r="B2" i="13" s="1"/>
  <c r="J127" i="14"/>
  <c r="E127" i="14"/>
  <c r="D127" i="14"/>
  <c r="J126" i="14"/>
  <c r="E126" i="14"/>
  <c r="D126" i="14"/>
  <c r="J125" i="14"/>
  <c r="E125" i="14"/>
  <c r="D125" i="14"/>
  <c r="J124" i="14"/>
  <c r="E124" i="14"/>
  <c r="D124" i="14"/>
  <c r="J123" i="14"/>
  <c r="E123" i="14"/>
  <c r="D123" i="14"/>
  <c r="J122" i="14"/>
  <c r="E122" i="14"/>
  <c r="D122" i="14"/>
  <c r="J121" i="14"/>
  <c r="E121" i="14"/>
  <c r="D121" i="14"/>
  <c r="J120" i="14"/>
  <c r="E120" i="14"/>
  <c r="D120" i="14"/>
  <c r="J119" i="14"/>
  <c r="E119" i="14"/>
  <c r="D119" i="14"/>
  <c r="J118" i="14"/>
  <c r="E118" i="14"/>
  <c r="D118" i="14"/>
  <c r="J117" i="14"/>
  <c r="E117" i="14"/>
  <c r="D117" i="14"/>
  <c r="J116" i="14"/>
  <c r="E116" i="14"/>
  <c r="D116" i="14"/>
  <c r="J115" i="14"/>
  <c r="E115" i="14"/>
  <c r="D115" i="14"/>
  <c r="J114" i="14"/>
  <c r="I114" i="14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H114" i="14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E114" i="14"/>
  <c r="D114" i="14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I95" i="14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H95" i="14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E95" i="14"/>
  <c r="D95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I76" i="14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H76" i="14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E76" i="14"/>
  <c r="D76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L3" i="12" s="1"/>
  <c r="G2" i="13" l="1"/>
  <c r="H2" i="13"/>
  <c r="E2" i="13"/>
  <c r="D2" i="13"/>
  <c r="F2" i="13"/>
  <c r="F8" i="13" s="1"/>
  <c r="C2" i="13"/>
  <c r="L22" i="17"/>
  <c r="H21" i="17"/>
  <c r="D21" i="17" s="1"/>
  <c r="F4" i="13"/>
  <c r="D4" i="13"/>
  <c r="C4" i="13"/>
  <c r="H4" i="13"/>
  <c r="E4" i="13"/>
  <c r="G4" i="13"/>
  <c r="N22" i="17"/>
  <c r="J21" i="17"/>
  <c r="F21" i="17" s="1"/>
  <c r="F3" i="13"/>
  <c r="E3" i="13"/>
  <c r="H3" i="13"/>
  <c r="D3" i="13"/>
  <c r="G3" i="13"/>
  <c r="C3" i="13"/>
  <c r="M22" i="17"/>
  <c r="I21" i="17"/>
  <c r="E21" i="17" s="1"/>
  <c r="O22" i="17"/>
  <c r="K21" i="17"/>
  <c r="G21" i="17" s="1"/>
  <c r="L4" i="12"/>
  <c r="L5" i="12"/>
  <c r="B12" i="13"/>
  <c r="Q4" i="12"/>
  <c r="Q12" i="12"/>
  <c r="Q20" i="12"/>
  <c r="Q28" i="12"/>
  <c r="Q36" i="12"/>
  <c r="Q17" i="12"/>
  <c r="Q18" i="12"/>
  <c r="Q27" i="12"/>
  <c r="Q5" i="12"/>
  <c r="Q13" i="12"/>
  <c r="Q21" i="12"/>
  <c r="Q29" i="12"/>
  <c r="Q37" i="12"/>
  <c r="Q16" i="12"/>
  <c r="Q10" i="12"/>
  <c r="Q19" i="12"/>
  <c r="Q6" i="12"/>
  <c r="Q14" i="12"/>
  <c r="Q22" i="12"/>
  <c r="Q30" i="12"/>
  <c r="Q38" i="12"/>
  <c r="Q24" i="12"/>
  <c r="Q33" i="12"/>
  <c r="Q26" i="12"/>
  <c r="Q35" i="12"/>
  <c r="Q7" i="12"/>
  <c r="Q15" i="12"/>
  <c r="Q23" i="12"/>
  <c r="Q31" i="12"/>
  <c r="Q3" i="12"/>
  <c r="M3" i="12" s="1"/>
  <c r="M4" i="12" s="1"/>
  <c r="M5" i="12" s="1"/>
  <c r="Q32" i="12"/>
  <c r="Q25" i="12"/>
  <c r="Q34" i="12"/>
  <c r="Q11" i="12"/>
  <c r="Q8" i="12"/>
  <c r="Q9" i="12"/>
  <c r="B11" i="13"/>
  <c r="P11" i="12"/>
  <c r="P19" i="12"/>
  <c r="P27" i="12"/>
  <c r="P35" i="12"/>
  <c r="P8" i="12"/>
  <c r="P9" i="12"/>
  <c r="P34" i="12"/>
  <c r="P12" i="12"/>
  <c r="P20" i="12"/>
  <c r="P28" i="12"/>
  <c r="P36" i="12"/>
  <c r="P38" i="12"/>
  <c r="P24" i="12"/>
  <c r="P10" i="12"/>
  <c r="P13" i="12"/>
  <c r="P21" i="12"/>
  <c r="P29" i="12"/>
  <c r="P37" i="12"/>
  <c r="P30" i="12"/>
  <c r="P32" i="12"/>
  <c r="P25" i="12"/>
  <c r="P26" i="12"/>
  <c r="P14" i="12"/>
  <c r="P22" i="12"/>
  <c r="P16" i="12"/>
  <c r="P7" i="12"/>
  <c r="P15" i="12"/>
  <c r="P23" i="12"/>
  <c r="P31" i="12"/>
  <c r="P6" i="12"/>
  <c r="L6" i="12" s="1"/>
  <c r="D6" i="12" s="1"/>
  <c r="P17" i="12"/>
  <c r="P18" i="12"/>
  <c r="P33" i="12"/>
  <c r="R12" i="12"/>
  <c r="R20" i="12"/>
  <c r="R28" i="12"/>
  <c r="R36" i="12"/>
  <c r="R31" i="12"/>
  <c r="R16" i="12"/>
  <c r="R34" i="12"/>
  <c r="R13" i="12"/>
  <c r="R21" i="12"/>
  <c r="R29" i="12"/>
  <c r="R37" i="12"/>
  <c r="R23" i="12"/>
  <c r="R32" i="12"/>
  <c r="R11" i="12"/>
  <c r="R14" i="12"/>
  <c r="R22" i="12"/>
  <c r="R30" i="12"/>
  <c r="R38" i="12"/>
  <c r="R15" i="12"/>
  <c r="R24" i="12"/>
  <c r="R19" i="12"/>
  <c r="R7" i="12"/>
  <c r="N3" i="12"/>
  <c r="N4" i="12" s="1"/>
  <c r="N5" i="12" s="1"/>
  <c r="N6" i="12" s="1"/>
  <c r="R26" i="12"/>
  <c r="R35" i="12"/>
  <c r="R8" i="12"/>
  <c r="R18" i="12"/>
  <c r="R9" i="12"/>
  <c r="R17" i="12"/>
  <c r="R25" i="12"/>
  <c r="R33" i="12"/>
  <c r="R27" i="12"/>
  <c r="R10" i="12"/>
  <c r="B13" i="13"/>
  <c r="H5" i="14"/>
  <c r="D3" i="12" s="1"/>
  <c r="J36" i="6"/>
  <c r="K36" i="6"/>
  <c r="K11" i="6"/>
  <c r="J11" i="6"/>
  <c r="G8" i="13" l="1"/>
  <c r="M23" i="17"/>
  <c r="I22" i="17"/>
  <c r="E22" i="17" s="1"/>
  <c r="N23" i="17"/>
  <c r="J22" i="17"/>
  <c r="F22" i="17" s="1"/>
  <c r="I4" i="13"/>
  <c r="L23" i="17"/>
  <c r="H22" i="17"/>
  <c r="D22" i="17" s="1"/>
  <c r="D8" i="13"/>
  <c r="I3" i="13"/>
  <c r="I2" i="13"/>
  <c r="E8" i="13"/>
  <c r="O23" i="17"/>
  <c r="K22" i="17"/>
  <c r="G22" i="17" s="1"/>
  <c r="C8" i="13"/>
  <c r="H8" i="13"/>
  <c r="D5" i="12"/>
  <c r="D4" i="12"/>
  <c r="N7" i="12"/>
  <c r="F7" i="12" s="1"/>
  <c r="M6" i="12"/>
  <c r="E5" i="12"/>
  <c r="D12" i="13"/>
  <c r="C12" i="13"/>
  <c r="E12" i="13"/>
  <c r="G12" i="13"/>
  <c r="H12" i="13"/>
  <c r="F12" i="13"/>
  <c r="L7" i="12"/>
  <c r="D11" i="13"/>
  <c r="E11" i="13"/>
  <c r="C11" i="13"/>
  <c r="F11" i="13"/>
  <c r="G11" i="13"/>
  <c r="H11" i="13"/>
  <c r="E13" i="13"/>
  <c r="F13" i="13"/>
  <c r="G13" i="13"/>
  <c r="C13" i="13"/>
  <c r="H13" i="13"/>
  <c r="D13" i="13"/>
  <c r="B22" i="13"/>
  <c r="H6" i="14"/>
  <c r="L36" i="6"/>
  <c r="O24" i="17" l="1"/>
  <c r="K23" i="17"/>
  <c r="G23" i="17" s="1"/>
  <c r="N8" i="12"/>
  <c r="F8" i="12" s="1"/>
  <c r="N24" i="17"/>
  <c r="J23" i="17"/>
  <c r="F23" i="17" s="1"/>
  <c r="L24" i="17"/>
  <c r="H23" i="17"/>
  <c r="D23" i="17" s="1"/>
  <c r="M24" i="17"/>
  <c r="I23" i="17"/>
  <c r="E23" i="17" s="1"/>
  <c r="C17" i="13"/>
  <c r="N9" i="12"/>
  <c r="I11" i="13"/>
  <c r="H17" i="13"/>
  <c r="I12" i="13"/>
  <c r="G17" i="13"/>
  <c r="M7" i="12"/>
  <c r="E6" i="12"/>
  <c r="F17" i="13"/>
  <c r="E17" i="13"/>
  <c r="L8" i="12"/>
  <c r="D17" i="13"/>
  <c r="I13" i="13"/>
  <c r="H7" i="14"/>
  <c r="D7" i="12" s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N25" i="17" l="1"/>
  <c r="J24" i="17"/>
  <c r="F24" i="17" s="1"/>
  <c r="L25" i="17"/>
  <c r="H24" i="17"/>
  <c r="D24" i="17" s="1"/>
  <c r="M25" i="17"/>
  <c r="I24" i="17"/>
  <c r="E24" i="17" s="1"/>
  <c r="O25" i="17"/>
  <c r="K24" i="17"/>
  <c r="G24" i="17" s="1"/>
  <c r="H10" i="10"/>
  <c r="F9" i="12"/>
  <c r="N10" i="12"/>
  <c r="M8" i="12"/>
  <c r="E7" i="12"/>
  <c r="D8" i="12"/>
  <c r="L9" i="12"/>
  <c r="H8" i="14"/>
  <c r="H3" i="10"/>
  <c r="H5" i="10"/>
  <c r="H6" i="10"/>
  <c r="H7" i="10"/>
  <c r="H9" i="10"/>
  <c r="H4" i="10"/>
  <c r="H11" i="10"/>
  <c r="H8" i="10"/>
  <c r="AW2" i="7"/>
  <c r="AW5" i="7"/>
  <c r="AW8" i="7"/>
  <c r="AV5" i="7"/>
  <c r="AV8" i="7"/>
  <c r="AV2" i="7"/>
  <c r="AS2" i="7"/>
  <c r="AS5" i="7"/>
  <c r="AS8" i="7"/>
  <c r="AR5" i="7"/>
  <c r="AR8" i="7"/>
  <c r="AR2" i="7"/>
  <c r="O26" i="17" l="1"/>
  <c r="K25" i="17"/>
  <c r="G25" i="17" s="1"/>
  <c r="L26" i="17"/>
  <c r="H25" i="17"/>
  <c r="D25" i="17" s="1"/>
  <c r="M26" i="17"/>
  <c r="I25" i="17"/>
  <c r="E25" i="17" s="1"/>
  <c r="N26" i="17"/>
  <c r="J25" i="17"/>
  <c r="F25" i="17" s="1"/>
  <c r="F10" i="12"/>
  <c r="N11" i="12"/>
  <c r="M9" i="12"/>
  <c r="E8" i="12"/>
  <c r="D9" i="12"/>
  <c r="L10" i="12"/>
  <c r="AT8" i="7"/>
  <c r="AU8" i="7" s="1"/>
  <c r="AX5" i="7"/>
  <c r="AY5" i="7" s="1"/>
  <c r="AT5" i="7"/>
  <c r="AU5" i="7" s="1"/>
  <c r="AX8" i="7"/>
  <c r="AY8" i="7" s="1"/>
  <c r="AX2" i="7"/>
  <c r="AY2" i="7" s="1"/>
  <c r="AT2" i="7"/>
  <c r="AU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N27" i="17" l="1"/>
  <c r="J26" i="17"/>
  <c r="F26" i="17" s="1"/>
  <c r="L27" i="17"/>
  <c r="H26" i="17"/>
  <c r="D26" i="17" s="1"/>
  <c r="M27" i="17"/>
  <c r="I26" i="17"/>
  <c r="E26" i="17" s="1"/>
  <c r="O27" i="17"/>
  <c r="K26" i="17"/>
  <c r="G26" i="17" s="1"/>
  <c r="F11" i="12"/>
  <c r="N12" i="12"/>
  <c r="M10" i="12"/>
  <c r="E9" i="12"/>
  <c r="D10" i="12"/>
  <c r="L11" i="12"/>
  <c r="AP5" i="7"/>
  <c r="AP8" i="7"/>
  <c r="AP2" i="7"/>
  <c r="AN5" i="7"/>
  <c r="AN8" i="7"/>
  <c r="AN2" i="7"/>
  <c r="AF2" i="7"/>
  <c r="AE2" i="7"/>
  <c r="AD2" i="7"/>
  <c r="O28" i="17" l="1"/>
  <c r="K27" i="17"/>
  <c r="G27" i="17" s="1"/>
  <c r="L28" i="17"/>
  <c r="H27" i="17"/>
  <c r="D27" i="17" s="1"/>
  <c r="M28" i="17"/>
  <c r="I27" i="17"/>
  <c r="E27" i="17" s="1"/>
  <c r="N28" i="17"/>
  <c r="J27" i="17"/>
  <c r="F27" i="17" s="1"/>
  <c r="N13" i="12"/>
  <c r="F12" i="12"/>
  <c r="M11" i="12"/>
  <c r="E10" i="12"/>
  <c r="L12" i="12"/>
  <c r="D11" i="12"/>
  <c r="AL8" i="7"/>
  <c r="AM8" i="7" s="1"/>
  <c r="AL2" i="7"/>
  <c r="AM2" i="7" s="1"/>
  <c r="AL5" i="7"/>
  <c r="AM5" i="7" s="1"/>
  <c r="AG2" i="7"/>
  <c r="AH2" i="7" s="1"/>
  <c r="AG8" i="7"/>
  <c r="AH8" i="7" s="1"/>
  <c r="AG5" i="7"/>
  <c r="AH5" i="7" s="1"/>
  <c r="N29" i="17" l="1"/>
  <c r="J28" i="17"/>
  <c r="F28" i="17" s="1"/>
  <c r="L29" i="17"/>
  <c r="H28" i="17"/>
  <c r="D28" i="17" s="1"/>
  <c r="M29" i="17"/>
  <c r="I28" i="17"/>
  <c r="E28" i="17" s="1"/>
  <c r="O29" i="17"/>
  <c r="K28" i="17"/>
  <c r="G28" i="17" s="1"/>
  <c r="F13" i="12"/>
  <c r="N14" i="12"/>
  <c r="M12" i="12"/>
  <c r="E11" i="12"/>
  <c r="L13" i="12"/>
  <c r="D12" i="12"/>
  <c r="M16" i="4"/>
  <c r="O30" i="17" l="1"/>
  <c r="K29" i="17"/>
  <c r="G29" i="17" s="1"/>
  <c r="L30" i="17"/>
  <c r="H29" i="17"/>
  <c r="D29" i="17" s="1"/>
  <c r="M30" i="17"/>
  <c r="I29" i="17"/>
  <c r="E29" i="17" s="1"/>
  <c r="N30" i="17"/>
  <c r="J29" i="17"/>
  <c r="F29" i="17" s="1"/>
  <c r="N15" i="12"/>
  <c r="F14" i="12"/>
  <c r="M13" i="12"/>
  <c r="E12" i="12"/>
  <c r="L14" i="12"/>
  <c r="D13" i="12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N31" i="17" l="1"/>
  <c r="J30" i="17"/>
  <c r="F30" i="17" s="1"/>
  <c r="L31" i="17"/>
  <c r="H30" i="17"/>
  <c r="D30" i="17" s="1"/>
  <c r="M31" i="17"/>
  <c r="I30" i="17"/>
  <c r="E30" i="17" s="1"/>
  <c r="O31" i="17"/>
  <c r="K30" i="17"/>
  <c r="G30" i="17" s="1"/>
  <c r="N16" i="12"/>
  <c r="F15" i="12"/>
  <c r="M14" i="12"/>
  <c r="E13" i="12"/>
  <c r="L15" i="12"/>
  <c r="D14" i="12"/>
  <c r="E3" i="4"/>
  <c r="E4" i="4"/>
  <c r="E5" i="4"/>
  <c r="E6" i="4"/>
  <c r="E7" i="4"/>
  <c r="E8" i="4"/>
  <c r="E9" i="4"/>
  <c r="E10" i="4"/>
  <c r="E11" i="4"/>
  <c r="E12" i="4"/>
  <c r="E13" i="4"/>
  <c r="E2" i="4"/>
  <c r="L32" i="17" l="1"/>
  <c r="H31" i="17"/>
  <c r="D31" i="17" s="1"/>
  <c r="O32" i="17"/>
  <c r="K31" i="17"/>
  <c r="G31" i="17" s="1"/>
  <c r="M32" i="17"/>
  <c r="I31" i="17"/>
  <c r="E31" i="17" s="1"/>
  <c r="N32" i="17"/>
  <c r="J31" i="17"/>
  <c r="F31" i="17" s="1"/>
  <c r="N17" i="12"/>
  <c r="F16" i="12"/>
  <c r="M15" i="12"/>
  <c r="E14" i="12"/>
  <c r="L16" i="12"/>
  <c r="D15" i="12"/>
  <c r="B1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C4" i="17" s="1"/>
  <c r="N33" i="17" l="1"/>
  <c r="J32" i="17"/>
  <c r="F32" i="17" s="1"/>
  <c r="O33" i="17"/>
  <c r="K32" i="17"/>
  <c r="G32" i="17" s="1"/>
  <c r="M33" i="17"/>
  <c r="I32" i="17"/>
  <c r="E32" i="17" s="1"/>
  <c r="L33" i="17"/>
  <c r="H32" i="17"/>
  <c r="D32" i="17" s="1"/>
  <c r="N18" i="12"/>
  <c r="F17" i="12"/>
  <c r="M16" i="12"/>
  <c r="E15" i="12"/>
  <c r="L17" i="12"/>
  <c r="D16" i="12"/>
  <c r="C4" i="12"/>
  <c r="H5" i="2"/>
  <c r="C5" i="17" s="1"/>
  <c r="L34" i="17" l="1"/>
  <c r="H33" i="17"/>
  <c r="D33" i="17" s="1"/>
  <c r="O34" i="17"/>
  <c r="K33" i="17"/>
  <c r="G33" i="17" s="1"/>
  <c r="M34" i="17"/>
  <c r="I33" i="17"/>
  <c r="E33" i="17" s="1"/>
  <c r="N34" i="17"/>
  <c r="J33" i="17"/>
  <c r="F33" i="17" s="1"/>
  <c r="N19" i="12"/>
  <c r="F18" i="12"/>
  <c r="M17" i="12"/>
  <c r="E16" i="12"/>
  <c r="L18" i="12"/>
  <c r="D17" i="12"/>
  <c r="C5" i="12"/>
  <c r="H6" i="2"/>
  <c r="C6" i="17" s="1"/>
  <c r="N35" i="17" l="1"/>
  <c r="J34" i="17"/>
  <c r="F34" i="17" s="1"/>
  <c r="O35" i="17"/>
  <c r="K34" i="17"/>
  <c r="G34" i="17" s="1"/>
  <c r="M35" i="17"/>
  <c r="I34" i="17"/>
  <c r="E34" i="17" s="1"/>
  <c r="L35" i="17"/>
  <c r="H34" i="17"/>
  <c r="D34" i="17" s="1"/>
  <c r="N20" i="12"/>
  <c r="F19" i="12"/>
  <c r="M18" i="12"/>
  <c r="E17" i="12"/>
  <c r="D18" i="12"/>
  <c r="L19" i="12"/>
  <c r="C6" i="12"/>
  <c r="H7" i="2"/>
  <c r="C7" i="17" s="1"/>
  <c r="L36" i="17" l="1"/>
  <c r="H35" i="17"/>
  <c r="D35" i="17" s="1"/>
  <c r="O36" i="17"/>
  <c r="K35" i="17"/>
  <c r="G35" i="17" s="1"/>
  <c r="M36" i="17"/>
  <c r="I35" i="17"/>
  <c r="E35" i="17" s="1"/>
  <c r="N36" i="17"/>
  <c r="J35" i="17"/>
  <c r="F35" i="17" s="1"/>
  <c r="N21" i="12"/>
  <c r="F20" i="12"/>
  <c r="M19" i="12"/>
  <c r="E18" i="12"/>
  <c r="D19" i="12"/>
  <c r="L20" i="12"/>
  <c r="C7" i="12"/>
  <c r="H8" i="2"/>
  <c r="C8" i="17" s="1"/>
  <c r="N37" i="17" l="1"/>
  <c r="J36" i="17"/>
  <c r="F36" i="17" s="1"/>
  <c r="O37" i="17"/>
  <c r="K36" i="17"/>
  <c r="G36" i="17" s="1"/>
  <c r="M37" i="17"/>
  <c r="I36" i="17"/>
  <c r="E36" i="17" s="1"/>
  <c r="L37" i="17"/>
  <c r="H36" i="17"/>
  <c r="D36" i="17" s="1"/>
  <c r="N22" i="12"/>
  <c r="F21" i="12"/>
  <c r="M20" i="12"/>
  <c r="E19" i="12"/>
  <c r="L21" i="12"/>
  <c r="D20" i="12"/>
  <c r="C8" i="12"/>
  <c r="H9" i="2"/>
  <c r="C9" i="17" s="1"/>
  <c r="L38" i="17" l="1"/>
  <c r="H38" i="17" s="1"/>
  <c r="D38" i="17" s="1"/>
  <c r="H37" i="17"/>
  <c r="D37" i="17" s="1"/>
  <c r="O38" i="17"/>
  <c r="K38" i="17" s="1"/>
  <c r="G38" i="17" s="1"/>
  <c r="K37" i="17"/>
  <c r="G37" i="17" s="1"/>
  <c r="M38" i="17"/>
  <c r="I38" i="17" s="1"/>
  <c r="E38" i="17" s="1"/>
  <c r="I37" i="17"/>
  <c r="E37" i="17" s="1"/>
  <c r="N38" i="17"/>
  <c r="J38" i="17" s="1"/>
  <c r="F38" i="17" s="1"/>
  <c r="J37" i="17"/>
  <c r="F37" i="17" s="1"/>
  <c r="N23" i="12"/>
  <c r="F22" i="12"/>
  <c r="M21" i="12"/>
  <c r="E20" i="12"/>
  <c r="D21" i="12"/>
  <c r="L22" i="12"/>
  <c r="C9" i="12"/>
  <c r="H10" i="2"/>
  <c r="C10" i="17" s="1"/>
  <c r="F23" i="12" l="1"/>
  <c r="N24" i="12"/>
  <c r="M22" i="12"/>
  <c r="E21" i="12"/>
  <c r="L23" i="12"/>
  <c r="D22" i="12"/>
  <c r="C10" i="12"/>
  <c r="H11" i="2"/>
  <c r="C11" i="17" s="1"/>
  <c r="N25" i="12" l="1"/>
  <c r="F24" i="12"/>
  <c r="M23" i="12"/>
  <c r="E22" i="12"/>
  <c r="D23" i="12"/>
  <c r="L24" i="12"/>
  <c r="C11" i="12"/>
  <c r="H12" i="2"/>
  <c r="C12" i="17" s="1"/>
  <c r="N26" i="12" l="1"/>
  <c r="F25" i="12"/>
  <c r="M24" i="12"/>
  <c r="E23" i="12"/>
  <c r="L25" i="12"/>
  <c r="D24" i="12"/>
  <c r="C12" i="12"/>
  <c r="H13" i="2"/>
  <c r="C13" i="17" s="1"/>
  <c r="N27" i="12" l="1"/>
  <c r="F26" i="12"/>
  <c r="M25" i="12"/>
  <c r="E24" i="12"/>
  <c r="D25" i="12"/>
  <c r="L26" i="12"/>
  <c r="C13" i="12"/>
  <c r="H14" i="2"/>
  <c r="C14" i="17" s="1"/>
  <c r="F27" i="12" l="1"/>
  <c r="N28" i="12"/>
  <c r="M26" i="12"/>
  <c r="E25" i="12"/>
  <c r="D26" i="12"/>
  <c r="L27" i="12"/>
  <c r="C14" i="12"/>
  <c r="H15" i="2"/>
  <c r="C15" i="17" s="1"/>
  <c r="F28" i="12" l="1"/>
  <c r="N29" i="12"/>
  <c r="M27" i="12"/>
  <c r="E26" i="12"/>
  <c r="D27" i="12"/>
  <c r="L28" i="12"/>
  <c r="C15" i="12"/>
  <c r="H16" i="2"/>
  <c r="C16" i="17" s="1"/>
  <c r="F29" i="12" l="1"/>
  <c r="N30" i="12"/>
  <c r="M28" i="12"/>
  <c r="E27" i="12"/>
  <c r="L29" i="12"/>
  <c r="D28" i="12"/>
  <c r="C16" i="12"/>
  <c r="H17" i="2"/>
  <c r="C17" i="17" s="1"/>
  <c r="F30" i="12" l="1"/>
  <c r="N31" i="12"/>
  <c r="M29" i="12"/>
  <c r="E28" i="12"/>
  <c r="L30" i="12"/>
  <c r="D29" i="12"/>
  <c r="C17" i="12"/>
  <c r="H18" i="2"/>
  <c r="C18" i="17" s="1"/>
  <c r="F31" i="12" l="1"/>
  <c r="N32" i="12"/>
  <c r="M30" i="12"/>
  <c r="E29" i="12"/>
  <c r="D30" i="12"/>
  <c r="L31" i="12"/>
  <c r="C18" i="12"/>
  <c r="H19" i="2"/>
  <c r="C19" i="17" s="1"/>
  <c r="N33" i="12" l="1"/>
  <c r="F32" i="12"/>
  <c r="M31" i="12"/>
  <c r="E30" i="12"/>
  <c r="L32" i="12"/>
  <c r="D31" i="12"/>
  <c r="C19" i="12"/>
  <c r="H20" i="2"/>
  <c r="C20" i="17" s="1"/>
  <c r="F33" i="12" l="1"/>
  <c r="N34" i="12"/>
  <c r="M32" i="12"/>
  <c r="E31" i="12"/>
  <c r="L33" i="12"/>
  <c r="D32" i="12"/>
  <c r="C20" i="12"/>
  <c r="H21" i="2"/>
  <c r="C21" i="17" s="1"/>
  <c r="N35" i="12" l="1"/>
  <c r="F34" i="12"/>
  <c r="M33" i="12"/>
  <c r="E32" i="12"/>
  <c r="L34" i="12"/>
  <c r="D33" i="12"/>
  <c r="C21" i="12"/>
  <c r="H22" i="2"/>
  <c r="C22" i="17" s="1"/>
  <c r="F35" i="12" l="1"/>
  <c r="N36" i="12"/>
  <c r="M34" i="12"/>
  <c r="E33" i="12"/>
  <c r="D34" i="12"/>
  <c r="L35" i="12"/>
  <c r="C22" i="12"/>
  <c r="H23" i="2"/>
  <c r="C23" i="17" s="1"/>
  <c r="F36" i="12" l="1"/>
  <c r="N37" i="12"/>
  <c r="M35" i="12"/>
  <c r="E34" i="12"/>
  <c r="L36" i="12"/>
  <c r="D35" i="12"/>
  <c r="C23" i="12"/>
  <c r="H24" i="2"/>
  <c r="C24" i="17" s="1"/>
  <c r="F37" i="12" l="1"/>
  <c r="N38" i="12"/>
  <c r="F38" i="12" s="1"/>
  <c r="M36" i="12"/>
  <c r="E35" i="12"/>
  <c r="L37" i="12"/>
  <c r="D36" i="12"/>
  <c r="C24" i="12"/>
  <c r="H25" i="2"/>
  <c r="C25" i="17" s="1"/>
  <c r="M37" i="12" l="1"/>
  <c r="E36" i="12"/>
  <c r="D37" i="12"/>
  <c r="L38" i="12"/>
  <c r="D38" i="12" s="1"/>
  <c r="C25" i="12"/>
  <c r="H26" i="2"/>
  <c r="C26" i="17" s="1"/>
  <c r="M38" i="12" l="1"/>
  <c r="E38" i="12" s="1"/>
  <c r="E37" i="12"/>
  <c r="C26" i="12"/>
  <c r="H27" i="2"/>
  <c r="C27" i="17" s="1"/>
  <c r="C27" i="12" l="1"/>
  <c r="H28" i="2"/>
  <c r="C28" i="17" s="1"/>
  <c r="C28" i="12" l="1"/>
  <c r="H29" i="2"/>
  <c r="C29" i="17" s="1"/>
  <c r="C29" i="12" l="1"/>
  <c r="H30" i="2"/>
  <c r="C30" i="17" s="1"/>
  <c r="C30" i="12" l="1"/>
  <c r="H31" i="2"/>
  <c r="C31" i="17" s="1"/>
  <c r="C31" i="12" l="1"/>
  <c r="H32" i="2"/>
  <c r="C32" i="17" s="1"/>
  <c r="C32" i="12" l="1"/>
  <c r="H33" i="2"/>
  <c r="C33" i="17" s="1"/>
  <c r="C33" i="12" l="1"/>
  <c r="H34" i="2"/>
  <c r="C34" i="17" s="1"/>
  <c r="C34" i="12" l="1"/>
  <c r="H35" i="2"/>
  <c r="C35" i="17" s="1"/>
  <c r="C35" i="12" l="1"/>
  <c r="H36" i="2"/>
  <c r="C36" i="17" s="1"/>
  <c r="C36" i="12" l="1"/>
  <c r="H37" i="2"/>
  <c r="C37" i="17" s="1"/>
  <c r="C37" i="12" l="1"/>
  <c r="H38" i="2"/>
  <c r="C38" i="17" s="1"/>
  <c r="C38" i="12" l="1"/>
</calcChain>
</file>

<file path=xl/sharedStrings.xml><?xml version="1.0" encoding="utf-8"?>
<sst xmlns="http://schemas.openxmlformats.org/spreadsheetml/2006/main" count="3890" uniqueCount="1174">
  <si>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</si>
  <si>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</si>
  <si>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</si>
  <si>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</si>
  <si>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</si>
  <si>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</si>
  <si>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</si>
  <si>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</si>
  <si>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</si>
  <si>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</si>
  <si>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</si>
  <si>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</si>
  <si>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</si>
  <si>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</si>
  <si>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</si>
  <si>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</si>
  <si>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</si>
  <si>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</si>
  <si>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</si>
  <si>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</si>
  <si>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</si>
  <si>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</si>
  <si>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</si>
  <si>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</si>
  <si>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</si>
  <si>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</si>
  <si>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</si>
  <si>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</si>
  <si>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</si>
  <si>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</si>
  <si>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</si>
  <si>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</si>
  <si>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</si>
  <si>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</si>
  <si>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</si>
  <si>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</si>
  <si>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</si>
  <si>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</si>
  <si>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</si>
  <si>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</si>
  <si>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</si>
  <si>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</si>
  <si>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</si>
  <si>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</si>
  <si>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</si>
  <si>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</si>
  <si>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</si>
  <si>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</si>
  <si>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</si>
  <si>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</si>
  <si>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</si>
  <si>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</si>
  <si>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</si>
  <si>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</si>
  <si>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</si>
  <si>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</si>
  <si>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</si>
  <si>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</si>
  <si>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</si>
  <si>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</si>
  <si>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</si>
  <si>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</si>
  <si>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</si>
  <si>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</si>
  <si>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</si>
  <si>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</si>
  <si>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</si>
  <si>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</si>
  <si>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</si>
  <si>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</si>
  <si>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</si>
  <si>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</si>
  <si>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</si>
  <si>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</si>
  <si>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</si>
  <si>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</si>
  <si>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</si>
  <si>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</si>
  <si>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</si>
  <si>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</si>
  <si>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</si>
  <si>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</si>
  <si>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</si>
  <si>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</si>
  <si>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</si>
  <si>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</si>
  <si>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</si>
  <si>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</si>
  <si>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</si>
  <si>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</si>
  <si>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</si>
  <si>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</si>
  <si>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</si>
  <si>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</si>
  <si>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</si>
  <si>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</si>
  <si>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</si>
  <si>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</si>
  <si>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</si>
  <si>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</si>
  <si>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</si>
  <si>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</si>
  <si>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</si>
  <si>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</si>
  <si>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</si>
  <si>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</si>
  <si>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</si>
  <si>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</si>
  <si>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</si>
  <si>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</si>
  <si>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</si>
  <si>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</si>
  <si>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</si>
  <si>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</si>
  <si>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</si>
  <si>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</si>
  <si>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</si>
  <si>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</si>
  <si>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</si>
  <si>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</si>
  <si>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</si>
  <si>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</si>
  <si>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</si>
  <si>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</si>
  <si>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</si>
  <si>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</si>
  <si>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</si>
  <si>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</si>
  <si>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</si>
  <si>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</si>
  <si>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</si>
  <si>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</si>
  <si>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</si>
  <si>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</si>
  <si>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</si>
  <si>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</si>
  <si>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</si>
  <si>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</si>
  <si>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</si>
  <si>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</si>
  <si>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</si>
  <si>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</si>
  <si>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</si>
  <si>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</si>
  <si>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</si>
  <si>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</si>
  <si>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</si>
  <si>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</si>
  <si>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</si>
  <si>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</si>
  <si>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</si>
  <si>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</si>
  <si>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</si>
  <si>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</si>
  <si>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</si>
  <si>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</si>
  <si>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</si>
  <si>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</si>
  <si>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</si>
  <si>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</si>
  <si>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</si>
  <si>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</si>
  <si>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</si>
  <si>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</si>
  <si>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</si>
  <si>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</si>
  <si>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</si>
  <si>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</si>
  <si>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</si>
  <si>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</si>
  <si>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</si>
  <si>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</si>
  <si>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</si>
  <si>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</si>
  <si>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</si>
  <si>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</si>
  <si>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</si>
  <si>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</si>
  <si>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</si>
  <si>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</si>
  <si>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</si>
  <si>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</si>
  <si>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</si>
  <si>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</si>
  <si>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</si>
  <si>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</si>
  <si>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</si>
  <si>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</si>
  <si>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</si>
  <si>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</si>
  <si>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</si>
  <si>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</si>
  <si>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</si>
  <si>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</si>
  <si>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基础奖励1数量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</si>
  <si>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</si>
  <si>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</si>
  <si>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</si>
  <si>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</si>
  <si>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</si>
  <si>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</si>
  <si>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</si>
  <si>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</si>
  <si>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</si>
  <si>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</si>
  <si>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</si>
  <si>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</si>
  <si>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</si>
  <si>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</si>
  <si>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</si>
  <si>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</si>
  <si>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</si>
  <si>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</si>
  <si>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</si>
  <si>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</si>
  <si>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</si>
  <si>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</si>
  <si>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</si>
  <si>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</si>
  <si>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</si>
  <si>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</si>
  <si>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</si>
  <si>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</si>
  <si>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</si>
  <si>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</si>
  <si>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</si>
  <si>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</si>
  <si>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</si>
  <si>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</si>
  <si>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</si>
  <si>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</si>
  <si>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</si>
  <si>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</si>
  <si>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</si>
  <si>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</si>
  <si>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</si>
  <si>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</si>
  <si>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</si>
  <si>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</si>
  <si>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</si>
  <si>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</si>
  <si>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</si>
  <si>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</si>
  <si>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</si>
  <si>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</si>
  <si>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</si>
  <si>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</si>
  <si>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</si>
  <si>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</si>
  <si>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</si>
  <si>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</si>
  <si>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</si>
  <si>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</si>
  <si>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</si>
  <si>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</si>
  <si>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</si>
  <si>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</si>
  <si>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</si>
  <si>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</si>
  <si>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</si>
  <si>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</si>
  <si>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</si>
  <si>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</si>
  <si>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</si>
  <si>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</si>
  <si>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</si>
  <si>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</si>
  <si>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</si>
  <si>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</si>
  <si>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</si>
  <si>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</si>
  <si>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</si>
  <si>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</si>
  <si>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</si>
  <si>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</si>
  <si>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</si>
  <si>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</si>
  <si>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</si>
  <si>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</si>
  <si>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</si>
  <si>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</si>
  <si>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</si>
  <si>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</si>
  <si>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</si>
  <si>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</si>
  <si>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</si>
  <si>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</si>
  <si>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</si>
  <si>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</si>
  <si>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</si>
  <si>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</si>
  <si>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</si>
  <si>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</si>
  <si>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</si>
  <si>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</si>
  <si>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</si>
  <si>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</si>
  <si>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</si>
  <si>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</si>
  <si>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</si>
  <si>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</si>
  <si>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</si>
  <si>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</si>
  <si>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</si>
  <si>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</si>
  <si>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</si>
  <si>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</si>
  <si>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</si>
  <si>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</si>
  <si>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</si>
  <si>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</si>
  <si>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</si>
  <si>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</si>
  <si>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</si>
  <si>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</si>
  <si>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</si>
  <si>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</si>
  <si>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</si>
  <si>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</si>
  <si>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</si>
  <si>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</si>
  <si>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</si>
  <si>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</si>
  <si>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</si>
  <si>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</si>
  <si>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</si>
  <si>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</si>
  <si>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</si>
  <si>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</si>
  <si>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</si>
  <si>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</si>
  <si>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</si>
  <si>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</si>
  <si>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</si>
  <si>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</si>
  <si>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</si>
  <si>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</si>
  <si>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</si>
  <si>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</si>
  <si>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</si>
  <si>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</si>
  <si>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</si>
  <si>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</si>
  <si>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</si>
  <si>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</si>
  <si>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</si>
  <si>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</si>
  <si>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</si>
  <si>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</si>
  <si>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</si>
  <si>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</si>
  <si>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</si>
  <si>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</si>
  <si>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</si>
  <si>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</si>
  <si>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</si>
  <si>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</si>
  <si>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</si>
  <si>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</si>
  <si>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</si>
  <si>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</si>
  <si>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</si>
  <si>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</si>
  <si>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</si>
  <si>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</si>
  <si>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</si>
  <si>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</si>
  <si>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</si>
  <si>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</si>
  <si>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</si>
  <si>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</si>
  <si>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</si>
  <si>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</si>
  <si>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</si>
  <si>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</si>
  <si>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</si>
  <si>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</si>
  <si>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</si>
  <si>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</si>
  <si>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</si>
  <si>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</si>
  <si>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</si>
  <si>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</si>
  <si>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</si>
  <si>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</si>
  <si>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</si>
  <si>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</si>
  <si>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</si>
  <si>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</si>
  <si>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</si>
  <si>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</si>
  <si>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</si>
  <si>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</si>
  <si>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</si>
  <si>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</si>
  <si>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</si>
  <si>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</si>
  <si>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</si>
  <si>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</si>
  <si>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</si>
  <si>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</si>
  <si>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</si>
  <si>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</si>
  <si>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</si>
  <si>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</si>
  <si>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</si>
  <si>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</si>
  <si>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</si>
  <si>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</si>
  <si>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</si>
  <si>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</si>
  <si>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</si>
  <si>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</si>
  <si>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</si>
  <si>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</si>
  <si>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</si>
  <si>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</si>
  <si>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</si>
  <si>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</si>
  <si>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</si>
  <si>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</si>
  <si>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</si>
  <si>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</si>
  <si>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</si>
  <si>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</si>
  <si>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</si>
  <si>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</si>
  <si>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</si>
  <si>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</si>
  <si>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</si>
  <si>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</si>
  <si>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</si>
  <si>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</si>
  <si>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</si>
  <si>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</si>
  <si>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</si>
  <si>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</si>
  <si>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</si>
  <si>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</si>
  <si>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</si>
  <si>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</si>
  <si>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</si>
  <si>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</si>
  <si>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</si>
  <si>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</si>
  <si>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</si>
  <si>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</si>
  <si>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</si>
  <si>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</si>
  <si>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</si>
  <si>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</si>
  <si>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</si>
  <si>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</si>
  <si>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</si>
  <si>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</si>
  <si>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</si>
  <si>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</si>
  <si>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</si>
  <si>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</si>
  <si>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</si>
  <si>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</si>
  <si>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</si>
  <si>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</si>
  <si>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</si>
  <si>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</si>
  <si>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</si>
  <si>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</si>
  <si>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</si>
  <si>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</si>
  <si>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</si>
  <si>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</si>
  <si>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</si>
  <si>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</si>
  <si>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</si>
  <si>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</si>
  <si>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</si>
  <si>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</si>
  <si>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</si>
  <si>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</si>
  <si>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</si>
  <si>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</si>
  <si>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</si>
  <si>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</si>
  <si>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</si>
  <si>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</si>
  <si>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</si>
  <si>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</si>
  <si>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</si>
  <si>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</si>
  <si>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</si>
  <si>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</si>
  <si>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</si>
  <si>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</si>
  <si>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</si>
  <si>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</si>
  <si>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</si>
  <si>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</si>
  <si>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</si>
  <si>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</si>
  <si>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</si>
  <si>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</si>
  <si>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</si>
  <si>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</si>
  <si>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</si>
  <si>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</si>
  <si>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</si>
  <si>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</si>
  <si>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</si>
  <si>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</si>
  <si>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</si>
  <si>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</si>
  <si>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</si>
  <si>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</si>
  <si>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</si>
  <si>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</si>
  <si>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</si>
  <si>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</si>
  <si>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</si>
  <si>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</si>
  <si>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</si>
  <si>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</si>
  <si>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</si>
  <si>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</si>
  <si>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</si>
  <si>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</si>
  <si>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</si>
  <si>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</si>
  <si>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</si>
  <si>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</si>
  <si>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</si>
  <si>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</si>
  <si>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</si>
  <si>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</si>
  <si>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</si>
  <si>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</si>
  <si>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</si>
  <si>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</si>
  <si>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</si>
  <si>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</si>
  <si>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</si>
  <si>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</si>
  <si>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</si>
  <si>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</si>
  <si>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</si>
  <si>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</si>
  <si>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</si>
  <si>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</si>
  <si>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</si>
  <si>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</si>
  <si>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</si>
  <si>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</si>
  <si>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</si>
  <si>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</si>
  <si>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</si>
  <si>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</si>
  <si>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</si>
  <si>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</si>
  <si>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</si>
  <si>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</si>
  <si>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</si>
  <si>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</si>
  <si>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</si>
  <si>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</si>
  <si>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</si>
  <si>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</si>
  <si>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</si>
  <si>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</si>
  <si>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</si>
  <si>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</si>
  <si>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</si>
  <si>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</si>
  <si>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</si>
  <si>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</si>
  <si>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</si>
  <si>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</si>
  <si>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</si>
  <si>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</si>
  <si>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</si>
  <si>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</si>
  <si>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</si>
  <si>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</si>
  <si>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</si>
  <si>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</si>
  <si>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</si>
  <si>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</si>
  <si>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</si>
  <si>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</si>
  <si>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</si>
  <si>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</si>
  <si>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</si>
  <si>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</si>
  <si>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</si>
  <si>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</si>
  <si>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</si>
  <si>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</si>
  <si>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</si>
  <si>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</si>
  <si>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</si>
  <si>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</si>
  <si>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</si>
  <si>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</si>
  <si>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</si>
  <si>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</si>
  <si>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</si>
  <si>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</si>
  <si>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</si>
  <si>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</si>
  <si>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</si>
  <si>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</si>
  <si>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</si>
  <si>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</si>
  <si>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</si>
  <si>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</si>
  <si>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</si>
  <si>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</si>
  <si>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</si>
  <si>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</si>
  <si>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</si>
  <si>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</si>
  <si>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</si>
  <si>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</si>
  <si>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</si>
  <si>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</si>
  <si>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</si>
  <si>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</si>
  <si>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</si>
  <si>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</si>
  <si>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</si>
  <si>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</si>
  <si>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</si>
  <si>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</si>
  <si>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</si>
  <si>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</si>
  <si>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</si>
  <si>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</si>
  <si>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</si>
  <si>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</si>
  <si>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</si>
  <si>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</si>
  <si>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</si>
  <si>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</si>
  <si>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</si>
  <si>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</si>
  <si>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</si>
  <si>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</si>
  <si>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</si>
  <si>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</si>
  <si>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</si>
  <si>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</si>
  <si>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</si>
  <si>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</si>
  <si>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</si>
  <si>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</si>
  <si>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</si>
  <si>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</si>
  <si>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</si>
  <si>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</si>
  <si>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</si>
  <si>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</si>
  <si>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</si>
  <si>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</si>
  <si>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</si>
  <si>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</si>
  <si>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</si>
  <si>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</si>
  <si>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</si>
  <si>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</si>
  <si>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</si>
  <si>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</si>
  <si>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</si>
  <si>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</si>
  <si>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</si>
  <si>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</si>
  <si>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</si>
  <si>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</si>
  <si>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</si>
  <si>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</si>
  <si>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</si>
  <si>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</si>
  <si>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</si>
  <si>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</si>
  <si>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</si>
  <si>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</si>
  <si>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</si>
  <si>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</si>
  <si>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</si>
  <si>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</si>
  <si>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</si>
  <si>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</si>
  <si>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</si>
  <si>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</si>
  <si>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</si>
  <si>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</si>
  <si>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</si>
  <si>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</si>
  <si>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</si>
  <si>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</si>
  <si>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</si>
  <si>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</si>
  <si>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</si>
  <si>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</si>
  <si>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</si>
  <si>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</si>
  <si>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</si>
  <si>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</si>
  <si>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</si>
  <si>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</si>
  <si>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</si>
  <si>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</si>
  <si>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</si>
  <si>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</si>
  <si>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</si>
  <si>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</si>
  <si>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</si>
  <si>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</si>
  <si>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</si>
  <si>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</si>
  <si>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</si>
  <si>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</si>
  <si>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</si>
  <si>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</si>
  <si>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</si>
  <si>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</si>
  <si>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</si>
  <si>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</si>
  <si>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</si>
  <si>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</si>
  <si>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</si>
  <si>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</si>
  <si>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</si>
  <si>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</si>
  <si>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</si>
  <si>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</si>
  <si>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</si>
  <si>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</si>
  <si>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</si>
  <si>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</si>
  <si>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</si>
  <si>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</si>
  <si>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</si>
  <si>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</si>
  <si>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</si>
  <si>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</si>
  <si>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</si>
  <si>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</si>
  <si>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</si>
  <si>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</si>
  <si>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</si>
  <si>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</si>
  <si>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</si>
  <si>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</si>
  <si>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</si>
  <si>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</si>
  <si>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</si>
  <si>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</si>
  <si>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</si>
  <si>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</si>
  <si>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</si>
  <si>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</si>
  <si>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</si>
  <si>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</si>
  <si>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</si>
  <si>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</si>
  <si>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</si>
  <si>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</si>
  <si>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</si>
  <si>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</si>
  <si>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</si>
  <si>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</si>
  <si>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</si>
  <si>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</si>
  <si>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</si>
  <si>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</si>
  <si>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</si>
  <si>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</si>
  <si>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</si>
  <si>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</si>
  <si>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</si>
  <si>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</si>
  <si>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</si>
  <si>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</si>
  <si>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</si>
  <si>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</si>
  <si>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</si>
  <si>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</si>
  <si>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</si>
  <si>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</si>
  <si>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</si>
  <si>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</si>
  <si>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</si>
  <si>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</si>
  <si>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</si>
  <si>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</si>
  <si>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</si>
  <si>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</si>
  <si>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</si>
  <si>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</si>
  <si>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</si>
  <si>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</si>
  <si>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</si>
  <si>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</si>
  <si>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</si>
  <si>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</si>
  <si>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</si>
  <si>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</si>
  <si>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</si>
  <si>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</si>
  <si>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</si>
  <si>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</si>
  <si>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</si>
  <si>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</si>
  <si>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</si>
  <si>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</si>
  <si>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</si>
  <si>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</si>
  <si>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</si>
  <si>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</si>
  <si>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</si>
  <si>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</si>
  <si>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</si>
  <si>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</si>
  <si>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</si>
  <si>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</si>
  <si>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</si>
  <si>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</si>
  <si>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</si>
  <si>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</si>
  <si>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</si>
  <si>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</si>
  <si>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</si>
  <si>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</si>
  <si>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</si>
  <si>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</si>
  <si>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</si>
  <si>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</si>
  <si>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军费</t>
    <phoneticPr fontId="1" type="noConversion"/>
  </si>
  <si>
    <t>新Rank升级道具</t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</si>
  <si>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</si>
  <si>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</si>
  <si>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</si>
  <si>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</si>
  <si>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</si>
  <si>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</si>
  <si>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</si>
  <si>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</si>
  <si>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</si>
  <si>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</si>
  <si>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</si>
  <si>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</si>
  <si>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</si>
  <si>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</si>
  <si>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</si>
  <si>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</si>
  <si>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</si>
  <si>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</si>
  <si>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</si>
  <si>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</si>
  <si>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</si>
  <si>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</si>
  <si>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</si>
  <si>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</si>
  <si>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</si>
  <si>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</si>
  <si>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</si>
  <si>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</si>
  <si>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</si>
  <si>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</si>
  <si>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</si>
  <si>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</si>
  <si>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</si>
  <si>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</si>
  <si>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</si>
  <si>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</si>
  <si>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</si>
  <si>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</si>
  <si>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</si>
  <si>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</si>
  <si>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</si>
  <si>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</si>
  <si>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</si>
  <si>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</si>
  <si>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</si>
  <si>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</si>
  <si>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</si>
  <si>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</si>
  <si>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</si>
  <si>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</si>
  <si>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</si>
  <si>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</si>
  <si>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</si>
  <si>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</si>
  <si>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</si>
  <si>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</si>
  <si>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</si>
  <si>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</si>
  <si>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</si>
  <si>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</si>
  <si>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</si>
  <si>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</si>
  <si>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</si>
  <si>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</si>
  <si>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</si>
  <si>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</si>
  <si>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</si>
  <si>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</si>
  <si>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</si>
  <si>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</si>
  <si>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</si>
  <si>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</si>
  <si>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</si>
  <si>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</si>
  <si>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</si>
  <si>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</si>
  <si>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</si>
  <si>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</si>
  <si>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</si>
  <si>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</si>
  <si>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</si>
  <si>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</si>
  <si>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</si>
  <si>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</si>
  <si>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</si>
  <si>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</si>
  <si>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</si>
  <si>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</si>
  <si>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</si>
  <si>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</si>
  <si>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</si>
  <si>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</si>
  <si>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</si>
  <si>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</si>
  <si>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</si>
  <si>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</si>
  <si>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</si>
  <si>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</si>
  <si>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</si>
  <si>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</si>
  <si>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</si>
  <si>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</si>
  <si>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</si>
  <si>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</si>
  <si>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</si>
  <si>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</si>
  <si>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每日任务</t>
  </si>
  <si>
    <t>挂机玩法</t>
  </si>
  <si>
    <t>每周挑战</t>
  </si>
  <si>
    <t>其他预留</t>
  </si>
  <si>
    <t>升星总次数</t>
    <phoneticPr fontId="1" type="noConversion"/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</si>
  <si>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</si>
  <si>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</si>
  <si>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</si>
  <si>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</si>
  <si>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</si>
  <si>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</si>
  <si>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</si>
  <si>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</si>
  <si>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</si>
  <si>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</si>
  <si>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</si>
  <si>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</si>
  <si>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</si>
  <si>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</si>
  <si>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</si>
  <si>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</si>
  <si>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</si>
  <si>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</si>
  <si>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</si>
  <si>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</si>
  <si>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</si>
  <si>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</si>
  <si>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</si>
  <si>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</si>
  <si>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</si>
  <si>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</si>
  <si>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</si>
  <si>
    <t>T1碎片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</si>
  <si>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</si>
  <si>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</si>
  <si>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</si>
  <si>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</si>
  <si>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单天总量预估</t>
    <phoneticPr fontId="1" type="noConversion"/>
  </si>
  <si>
    <t>T3部件</t>
    <phoneticPr fontId="1" type="noConversion"/>
  </si>
  <si>
    <t>T2替代比例</t>
    <phoneticPr fontId="1" type="noConversion"/>
  </si>
  <si>
    <t>T1替代比例</t>
    <phoneticPr fontId="1" type="noConversion"/>
  </si>
  <si>
    <t>替代系数</t>
    <phoneticPr fontId="1" type="noConversion"/>
  </si>
  <si>
    <t>物品</t>
    <phoneticPr fontId="1" type="noConversion"/>
  </si>
  <si>
    <t>投放总价</t>
    <phoneticPr fontId="1" type="noConversion"/>
  </si>
  <si>
    <t>军费</t>
    <phoneticPr fontId="1" type="noConversion"/>
  </si>
  <si>
    <t>钻石</t>
    <phoneticPr fontId="1" type="noConversion"/>
  </si>
  <si>
    <t>物品价值</t>
    <phoneticPr fontId="1" type="noConversion"/>
  </si>
  <si>
    <t>比例分配</t>
    <phoneticPr fontId="1" type="noConversion"/>
  </si>
  <si>
    <t>时间预估</t>
    <phoneticPr fontId="1" type="noConversion"/>
  </si>
  <si>
    <t>每级经验值</t>
    <phoneticPr fontId="1" type="noConversion"/>
  </si>
  <si>
    <t>10分位单场经验值</t>
    <phoneticPr fontId="1" type="noConversion"/>
  </si>
  <si>
    <t>25分位单场经验值</t>
    <phoneticPr fontId="1" type="noConversion"/>
  </si>
  <si>
    <t>75分位单场经验值</t>
    <phoneticPr fontId="1" type="noConversion"/>
  </si>
  <si>
    <t>90分位单场经验值</t>
    <phoneticPr fontId="1" type="noConversion"/>
  </si>
  <si>
    <t>10分位时间</t>
    <phoneticPr fontId="1" type="noConversion"/>
  </si>
  <si>
    <t>25分位时间</t>
    <phoneticPr fontId="1" type="noConversion"/>
  </si>
  <si>
    <t>75分位时间</t>
    <phoneticPr fontId="1" type="noConversion"/>
  </si>
  <si>
    <t>90分位时间</t>
    <phoneticPr fontId="1" type="noConversion"/>
  </si>
  <si>
    <t>伤害加成</t>
    <phoneticPr fontId="1" type="noConversion"/>
  </si>
  <si>
    <t>持续伤害</t>
    <phoneticPr fontId="1" type="noConversion"/>
  </si>
  <si>
    <t>一场消耗数量预估</t>
    <phoneticPr fontId="1" type="noConversion"/>
  </si>
  <si>
    <t>一场消耗钻石预估</t>
    <phoneticPr fontId="1" type="noConversion"/>
  </si>
  <si>
    <t>场均消耗/T3坦克价值</t>
    <phoneticPr fontId="1" type="noConversion"/>
  </si>
  <si>
    <t>钥匙宝箱</t>
    <phoneticPr fontId="1" type="noConversion"/>
  </si>
  <si>
    <t>概率</t>
    <phoneticPr fontId="1" type="noConversion"/>
  </si>
  <si>
    <t>数量</t>
    <phoneticPr fontId="1" type="noConversion"/>
  </si>
  <si>
    <t>抽取次数</t>
    <phoneticPr fontId="1" type="noConversion"/>
  </si>
  <si>
    <t>荣耀宝箱</t>
    <phoneticPr fontId="1" type="noConversion"/>
  </si>
  <si>
    <t>Rank</t>
    <phoneticPr fontId="1" type="noConversion"/>
  </si>
  <si>
    <t>任务数量</t>
    <phoneticPr fontId="1" type="noConversion"/>
  </si>
  <si>
    <t>任务时间</t>
    <phoneticPr fontId="1" type="noConversion"/>
  </si>
  <si>
    <t>任务难度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</si>
  <si>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</si>
  <si>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</si>
  <si>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</si>
  <si>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描述</t>
    <phoneticPr fontId="1" type="noConversion"/>
  </si>
  <si>
    <t>基础坦克</t>
    <phoneticPr fontId="1" type="noConversion"/>
  </si>
  <si>
    <t>S坦克</t>
    <phoneticPr fontId="1" type="noConversion"/>
  </si>
  <si>
    <t>S坦克进阶</t>
    <phoneticPr fontId="1" type="noConversion"/>
  </si>
  <si>
    <t>极高</t>
    <phoneticPr fontId="1" type="noConversion"/>
  </si>
  <si>
    <t>基础坦克进阶</t>
    <phoneticPr fontId="1" type="noConversion"/>
  </si>
  <si>
    <t>任务小时数</t>
    <phoneticPr fontId="1" type="noConversion"/>
  </si>
  <si>
    <t>[2,3]</t>
    <phoneticPr fontId="1" type="noConversion"/>
  </si>
  <si>
    <t>任务难度</t>
    <phoneticPr fontId="1" type="noConversion"/>
  </si>
  <si>
    <t>预计成功率</t>
    <phoneticPr fontId="1" type="noConversion"/>
  </si>
  <si>
    <t>推荐坦克倍数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</si>
  <si>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</si>
  <si>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</si>
  <si>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</si>
  <si>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[8,12]</t>
  </si>
  <si>
    <t>[8,12]</t>
    <phoneticPr fontId="1" type="noConversion"/>
  </si>
  <si>
    <t>对应league rank</t>
    <phoneticPr fontId="1" type="noConversion"/>
  </si>
  <si>
    <t>[6,7]</t>
  </si>
  <si>
    <t>[6,7]</t>
    <phoneticPr fontId="1" type="noConversion"/>
  </si>
  <si>
    <t>[4,5]</t>
  </si>
  <si>
    <t>[4,5]</t>
    <phoneticPr fontId="1" type="noConversion"/>
  </si>
  <si>
    <t>奖励系数</t>
    <phoneticPr fontId="1" type="noConversion"/>
  </si>
  <si>
    <t>基础军费/小时</t>
    <phoneticPr fontId="1" type="noConversion"/>
  </si>
  <si>
    <t>单天军费投放</t>
    <phoneticPr fontId="1" type="noConversion"/>
  </si>
  <si>
    <t>占比</t>
    <phoneticPr fontId="1" type="noConversion"/>
  </si>
  <si>
    <t>成功奖励倍率</t>
    <phoneticPr fontId="1" type="noConversion"/>
  </si>
  <si>
    <t>部件随机包-绿色</t>
    <phoneticPr fontId="1" type="noConversion"/>
  </si>
  <si>
    <t>坦克碎片随机包-绿色</t>
    <phoneticPr fontId="1" type="noConversion"/>
  </si>
  <si>
    <t>部件随机包-蓝色</t>
    <phoneticPr fontId="1" type="noConversion"/>
  </si>
  <si>
    <t>坦克碎片随机包-蓝色</t>
    <phoneticPr fontId="1" type="noConversion"/>
  </si>
  <si>
    <t>豹</t>
    <phoneticPr fontId="1" type="noConversion"/>
  </si>
  <si>
    <t>巨犀兽</t>
    <phoneticPr fontId="1" type="noConversion"/>
  </si>
  <si>
    <t>T1</t>
    <phoneticPr fontId="1" type="noConversion"/>
  </si>
  <si>
    <t>T2</t>
    <phoneticPr fontId="1" type="noConversion"/>
  </si>
  <si>
    <t>推荐成功分数</t>
    <phoneticPr fontId="1" type="noConversion"/>
  </si>
  <si>
    <t>基础成功分数</t>
    <phoneticPr fontId="1" type="noConversion"/>
  </si>
  <si>
    <t>Rank</t>
    <phoneticPr fontId="1" type="noConversion"/>
  </si>
  <si>
    <t>50分位经验值</t>
    <phoneticPr fontId="1" type="noConversion"/>
  </si>
  <si>
    <t>当前得分</t>
    <phoneticPr fontId="1" type="noConversion"/>
  </si>
  <si>
    <t>原始分值</t>
    <phoneticPr fontId="1" type="noConversion"/>
  </si>
  <si>
    <t>当前分值</t>
    <phoneticPr fontId="1" type="noConversion"/>
  </si>
  <si>
    <t>占比预估</t>
    <phoneticPr fontId="1" type="noConversion"/>
  </si>
  <si>
    <t>战斗得分</t>
  </si>
  <si>
    <t>击杀</t>
  </si>
  <si>
    <t>二杀</t>
  </si>
  <si>
    <t>三杀</t>
  </si>
  <si>
    <t>四杀</t>
  </si>
  <si>
    <t>五杀</t>
  </si>
  <si>
    <t>占领据点</t>
  </si>
  <si>
    <t>50分位场次</t>
    <phoneticPr fontId="1" type="noConversion"/>
  </si>
  <si>
    <t>10分位场次</t>
    <phoneticPr fontId="1" type="noConversion"/>
  </si>
  <si>
    <t>25分位场次</t>
    <phoneticPr fontId="1" type="noConversion"/>
  </si>
  <si>
    <t>75分位场次</t>
    <phoneticPr fontId="1" type="noConversion"/>
  </si>
  <si>
    <t>90分位场次</t>
    <phoneticPr fontId="1" type="noConversion"/>
  </si>
  <si>
    <t>50分位得分</t>
    <phoneticPr fontId="1" type="noConversion"/>
  </si>
  <si>
    <t>10分位得分</t>
    <phoneticPr fontId="1" type="noConversion"/>
  </si>
  <si>
    <t>25分位得分</t>
    <phoneticPr fontId="1" type="noConversion"/>
  </si>
  <si>
    <t>75分位得分</t>
    <phoneticPr fontId="1" type="noConversion"/>
  </si>
  <si>
    <t>90分位得分</t>
    <phoneticPr fontId="1" type="noConversion"/>
  </si>
  <si>
    <t>50分位时间</t>
    <phoneticPr fontId="1" type="noConversion"/>
  </si>
  <si>
    <t>T4平均星级</t>
  </si>
  <si>
    <t>T4坦克数量</t>
  </si>
  <si>
    <t>T4碎片投放</t>
  </si>
  <si>
    <t>T4碎片单天投放</t>
  </si>
  <si>
    <t>价值</t>
    <phoneticPr fontId="1" type="noConversion"/>
  </si>
  <si>
    <t>T4碎片</t>
    <phoneticPr fontId="1" type="noConversion"/>
  </si>
  <si>
    <t>T5碎片</t>
    <phoneticPr fontId="1" type="noConversion"/>
  </si>
  <si>
    <t>T1部件数量</t>
    <phoneticPr fontId="1" type="noConversion"/>
  </si>
  <si>
    <t>T2部件数量</t>
    <phoneticPr fontId="1" type="noConversion"/>
  </si>
  <si>
    <t>T3部件数量</t>
    <phoneticPr fontId="1" type="noConversion"/>
  </si>
  <si>
    <t>T4部件数量</t>
    <phoneticPr fontId="1" type="noConversion"/>
  </si>
  <si>
    <t>T1部件投放</t>
    <phoneticPr fontId="1" type="noConversion"/>
  </si>
  <si>
    <t>T2部件投放</t>
    <phoneticPr fontId="1" type="noConversion"/>
  </si>
  <si>
    <t>T3部件投放</t>
    <phoneticPr fontId="1" type="noConversion"/>
  </si>
  <si>
    <t>T4部件投放</t>
    <phoneticPr fontId="1" type="noConversion"/>
  </si>
  <si>
    <t>T1部件单天投放</t>
    <phoneticPr fontId="1" type="noConversion"/>
  </si>
  <si>
    <t>T2部件单天投放</t>
    <phoneticPr fontId="1" type="noConversion"/>
  </si>
  <si>
    <t>T3部件单天投放</t>
    <phoneticPr fontId="1" type="noConversion"/>
  </si>
  <si>
    <t>T4部件单天投放</t>
    <phoneticPr fontId="1" type="noConversion"/>
  </si>
  <si>
    <t>Rank1</t>
    <phoneticPr fontId="1" type="noConversion"/>
  </si>
  <si>
    <t>T3替代比例</t>
  </si>
  <si>
    <t>Rank8</t>
    <phoneticPr fontId="1" type="noConversion"/>
  </si>
  <si>
    <t>累计消耗部件数</t>
    <phoneticPr fontId="1" type="noConversion"/>
  </si>
  <si>
    <t>星级-查找用</t>
    <phoneticPr fontId="1" type="noConversion"/>
  </si>
  <si>
    <t>国旗：做成荣誉性奖励</t>
    <phoneticPr fontId="1" type="noConversion"/>
  </si>
  <si>
    <t>每周平均战斗场次</t>
    <phoneticPr fontId="1" type="noConversion"/>
  </si>
  <si>
    <t>每周免费投放比例</t>
    <phoneticPr fontId="1" type="noConversion"/>
  </si>
  <si>
    <t>每周子弹消耗总量</t>
    <phoneticPr fontId="1" type="noConversion"/>
  </si>
  <si>
    <t>每周价值钻石</t>
    <phoneticPr fontId="1" type="noConversion"/>
  </si>
  <si>
    <t>每周免费投放字段价值钻石</t>
    <phoneticPr fontId="1" type="noConversion"/>
  </si>
  <si>
    <t>每周免费投放子弹数</t>
    <phoneticPr fontId="1" type="noConversion"/>
  </si>
  <si>
    <t>任务Group</t>
    <phoneticPr fontId="1" type="noConversion"/>
  </si>
  <si>
    <t>T-34-红柳</t>
    <phoneticPr fontId="1" type="noConversion"/>
  </si>
  <si>
    <t>KV-1-巨犀兽</t>
    <phoneticPr fontId="1" type="noConversion"/>
  </si>
  <si>
    <t>二号-豹</t>
    <phoneticPr fontId="1" type="noConversion"/>
  </si>
  <si>
    <t>雷诺FT-精灵</t>
    <phoneticPr fontId="1" type="noConversion"/>
  </si>
  <si>
    <t>Stuart-海妖</t>
    <phoneticPr fontId="1" type="noConversion"/>
  </si>
  <si>
    <t>B-1-鹏</t>
    <phoneticPr fontId="1" type="noConversion"/>
  </si>
  <si>
    <t>Puma-狼獾·S</t>
    <phoneticPr fontId="1" type="noConversion"/>
  </si>
  <si>
    <t>四号-牛头怪·S</t>
    <phoneticPr fontId="1" type="noConversion"/>
  </si>
  <si>
    <t>丘吉尔-冰龙·S</t>
    <phoneticPr fontId="1" type="noConversion"/>
  </si>
  <si>
    <t>预计数量1</t>
    <phoneticPr fontId="1" type="noConversion"/>
  </si>
  <si>
    <t>预计数量2</t>
    <phoneticPr fontId="1" type="noConversion"/>
  </si>
  <si>
    <t>预计数量3</t>
    <phoneticPr fontId="1" type="noConversion"/>
  </si>
  <si>
    <t>坦克类型</t>
    <phoneticPr fontId="1" type="noConversion"/>
  </si>
  <si>
    <t>挂机分数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</si>
  <si>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</si>
  <si>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</si>
  <si>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</si>
  <si>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</si>
  <si>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</si>
  <si>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满分</t>
    <phoneticPr fontId="1" type="noConversion"/>
  </si>
  <si>
    <t>雷诺FT-精灵</t>
    <phoneticPr fontId="1" type="noConversion"/>
  </si>
  <si>
    <t/>
  </si>
  <si>
    <t>[12,36]</t>
  </si>
  <si>
    <t>[12,36]</t>
    <phoneticPr fontId="1" type="noConversion"/>
  </si>
  <si>
    <t>价值</t>
    <phoneticPr fontId="1" type="noConversion"/>
  </si>
  <si>
    <t>预期数量1</t>
    <phoneticPr fontId="1" type="noConversion"/>
  </si>
  <si>
    <t>预期数量2</t>
    <phoneticPr fontId="1" type="noConversion"/>
  </si>
  <si>
    <t>预期价值小时</t>
    <phoneticPr fontId="1" type="noConversion"/>
  </si>
  <si>
    <t>任务名字</t>
    <phoneticPr fontId="1" type="noConversion"/>
  </si>
  <si>
    <t>MISSION_NAME_101</t>
  </si>
  <si>
    <t>MISSION_NAME_102</t>
  </si>
  <si>
    <t>MISSION_NAME_103</t>
  </si>
  <si>
    <t>MISSION_NAME_104</t>
  </si>
  <si>
    <t>MISSION_NAME_105</t>
  </si>
  <si>
    <t>MISSION_NAME_106</t>
  </si>
  <si>
    <t>MISSION_NAME_201</t>
  </si>
  <si>
    <t>MISSION_NAME_202</t>
  </si>
  <si>
    <t>MISSION_NAME_203</t>
  </si>
  <si>
    <t>MISSION_NAME_301</t>
  </si>
  <si>
    <t>MISSION_NAME_302</t>
  </si>
  <si>
    <t>MISSION_NAME_303</t>
  </si>
  <si>
    <t>MISSION_NAME_401</t>
  </si>
  <si>
    <t>MISSION_NAME_402</t>
  </si>
  <si>
    <t>MISSION_NAME_403</t>
  </si>
  <si>
    <t>MISSION_NAME_501</t>
  </si>
  <si>
    <t>MISSION_NAME_502</t>
  </si>
  <si>
    <t>MISSION_NAME_503</t>
  </si>
  <si>
    <t>MISSION_NAME_601</t>
  </si>
  <si>
    <t>MISSION_NAME_602</t>
  </si>
  <si>
    <t>MISSION_NAME_603</t>
  </si>
  <si>
    <t>MISSION_NAME_701</t>
  </si>
  <si>
    <t>MISSION_NAME_702</t>
  </si>
  <si>
    <t>MISSION_NAME_703</t>
  </si>
  <si>
    <t>MISSION_NAME_801</t>
  </si>
  <si>
    <t>MISSION_NAME_802</t>
  </si>
  <si>
    <t>MISSION_NAME_803</t>
  </si>
  <si>
    <t>MISSION_NAME_901</t>
  </si>
  <si>
    <t>MISSION_NAME_902</t>
  </si>
  <si>
    <t>MISSION_NAME_903</t>
  </si>
  <si>
    <t>MISSION_NAME_1001</t>
  </si>
  <si>
    <t>MISSION_NAME_1002</t>
  </si>
  <si>
    <t>MISSION_NAME_1003</t>
  </si>
  <si>
    <t>153,</t>
  </si>
  <si>
    <t>153,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</si>
</sst>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_ "/>
    <numFmt numFmtId="179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5" fillId="0" borderId="1" xfId="0" applyFont="1" applyBorder="1"/>
    <xf numFmtId="178" fontId="0" fillId="0" borderId="1" xfId="0" applyNumberFormat="1" applyFill="1" applyBorder="1"/>
    <xf numFmtId="0" fontId="6" fillId="0" borderId="0" xfId="0" applyFont="1"/>
    <xf numFmtId="0" fontId="5" fillId="0" borderId="0" xfId="0" applyFont="1" applyBorder="1"/>
    <xf numFmtId="178" fontId="2" fillId="4" borderId="1" xfId="0" applyNumberFormat="1" applyFont="1" applyFill="1" applyBorder="1"/>
    <xf numFmtId="178" fontId="2" fillId="0" borderId="1" xfId="0" applyNumberFormat="1" applyFont="1" applyBorder="1"/>
    <xf numFmtId="0" fontId="5" fillId="0" borderId="1" xfId="0" applyFont="1" applyFill="1" applyBorder="1"/>
    <xf numFmtId="0" fontId="0" fillId="0" borderId="0" xfId="0" applyAlignment="1">
      <alignment vertical="center"/>
    </xf>
    <xf numFmtId="9" fontId="0" fillId="0" borderId="1" xfId="0" applyNumberFormat="1" applyBorder="1"/>
    <xf numFmtId="10" fontId="0" fillId="0" borderId="1" xfId="0" applyNumberFormat="1" applyBorder="1"/>
    <xf numFmtId="0" fontId="4" fillId="3" borderId="0" xfId="0" applyFont="1" applyFill="1"/>
    <xf numFmtId="10" fontId="0" fillId="3" borderId="0" xfId="0" applyNumberFormat="1" applyFill="1"/>
    <xf numFmtId="0" fontId="0" fillId="5" borderId="0" xfId="0" applyFill="1"/>
    <xf numFmtId="0" fontId="0" fillId="2" borderId="0" xfId="0" applyFill="1"/>
    <xf numFmtId="0" fontId="6" fillId="0" borderId="1" xfId="0" applyFont="1" applyFill="1" applyBorder="1"/>
    <xf numFmtId="0" fontId="6" fillId="0" borderId="1" xfId="0" applyFont="1" applyBorder="1"/>
    <xf numFmtId="10" fontId="0" fillId="0" borderId="0" xfId="0" applyNumberFormat="1" applyBorder="1"/>
    <xf numFmtId="0" fontId="2" fillId="0" borderId="2" xfId="0" applyFont="1" applyFill="1" applyBorder="1"/>
    <xf numFmtId="0" fontId="6" fillId="0" borderId="1" xfId="0" applyNumberFormat="1" applyFont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6" borderId="0" xfId="0" applyFill="1"/>
    <xf numFmtId="0" fontId="0" fillId="6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3" xfId="0" applyFill="1" applyBorder="1"/>
    <xf numFmtId="179" fontId="0" fillId="0" borderId="0" xfId="0" applyNumberFormat="1"/>
    <xf numFmtId="179" fontId="0" fillId="0" borderId="0" xfId="0" applyNumberFormat="1" applyAlignment="1">
      <alignment vertical="center"/>
    </xf>
    <xf numFmtId="178" fontId="2" fillId="0" borderId="0" xfId="0" applyNumberFormat="1" applyFont="1" applyFill="1" applyBorder="1"/>
    <xf numFmtId="0" fontId="2" fillId="0" borderId="3" xfId="0" applyFont="1" applyFill="1" applyBorder="1"/>
    <xf numFmtId="0" fontId="0" fillId="7" borderId="1" xfId="0" applyFill="1" applyBorder="1"/>
    <xf numFmtId="178" fontId="0" fillId="0" borderId="0" xfId="0" applyNumberFormat="1" applyBorder="1"/>
    <xf numFmtId="0" fontId="0" fillId="0" borderId="0" xfId="0" applyNumberFormat="1" applyBorder="1"/>
    <xf numFmtId="0" fontId="0" fillId="4" borderId="0" xfId="0" applyFill="1"/>
    <xf numFmtId="0" fontId="0" fillId="4" borderId="0" xfId="0" applyNumberFormat="1" applyFill="1"/>
    <xf numFmtId="10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</a:t>
            </a:r>
            <a:r>
              <a:rPr lang="en-US" altLang="zh-CN"/>
              <a:t>Rank</a:t>
            </a:r>
            <a:r>
              <a:rPr lang="zh-CN" altLang="en-US"/>
              <a:t>游戏时间增长趋势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时间预估!$U$2:$U$37</c:f>
              <c:numCache>
                <c:formatCode>General</c:formatCode>
                <c:ptCount val="36"/>
                <c:pt idx="0">
                  <c:v>0.8</c:v>
                </c:pt>
                <c:pt idx="1">
                  <c:v>1.4814814814814814</c:v>
                </c:pt>
                <c:pt idx="2">
                  <c:v>1.4035087719298245</c:v>
                </c:pt>
                <c:pt idx="3">
                  <c:v>2</c:v>
                </c:pt>
                <c:pt idx="4">
                  <c:v>4.4444444444444446</c:v>
                </c:pt>
                <c:pt idx="5">
                  <c:v>5.333333333333333</c:v>
                </c:pt>
                <c:pt idx="6">
                  <c:v>5.161290322580645</c:v>
                </c:pt>
                <c:pt idx="7">
                  <c:v>6.666666666666667</c:v>
                </c:pt>
                <c:pt idx="8">
                  <c:v>8.1999999999999993</c:v>
                </c:pt>
                <c:pt idx="9">
                  <c:v>8.43</c:v>
                </c:pt>
                <c:pt idx="10">
                  <c:v>9.43</c:v>
                </c:pt>
                <c:pt idx="11">
                  <c:v>10.43</c:v>
                </c:pt>
                <c:pt idx="12">
                  <c:v>11.43</c:v>
                </c:pt>
                <c:pt idx="13">
                  <c:v>12.43</c:v>
                </c:pt>
                <c:pt idx="14">
                  <c:v>13.43</c:v>
                </c:pt>
                <c:pt idx="15">
                  <c:v>14.43</c:v>
                </c:pt>
                <c:pt idx="16">
                  <c:v>15.43</c:v>
                </c:pt>
                <c:pt idx="17">
                  <c:v>16.43</c:v>
                </c:pt>
                <c:pt idx="18">
                  <c:v>18.399999999999999</c:v>
                </c:pt>
                <c:pt idx="19">
                  <c:v>19.8</c:v>
                </c:pt>
                <c:pt idx="20">
                  <c:v>21.2</c:v>
                </c:pt>
                <c:pt idx="21">
                  <c:v>22.599999999999998</c:v>
                </c:pt>
                <c:pt idx="22">
                  <c:v>23.999999999999996</c:v>
                </c:pt>
                <c:pt idx="23">
                  <c:v>25.399999999999995</c:v>
                </c:pt>
                <c:pt idx="24">
                  <c:v>26.8</c:v>
                </c:pt>
                <c:pt idx="25">
                  <c:v>28.2</c:v>
                </c:pt>
                <c:pt idx="26">
                  <c:v>29.599999999999998</c:v>
                </c:pt>
                <c:pt idx="27">
                  <c:v>33.599999999999994</c:v>
                </c:pt>
                <c:pt idx="28">
                  <c:v>36.200000000000003</c:v>
                </c:pt>
                <c:pt idx="29">
                  <c:v>38.799999999999997</c:v>
                </c:pt>
                <c:pt idx="30">
                  <c:v>41.400000000000006</c:v>
                </c:pt>
                <c:pt idx="31">
                  <c:v>44</c:v>
                </c:pt>
                <c:pt idx="32">
                  <c:v>46.599999999999994</c:v>
                </c:pt>
                <c:pt idx="33">
                  <c:v>49.2</c:v>
                </c:pt>
                <c:pt idx="34">
                  <c:v>51.8</c:v>
                </c:pt>
                <c:pt idx="35">
                  <c:v>54.400000000000006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6-489C-B620-99FD0E8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21432"/>
        <c:axId val="788426352"/>
      </c:lineChart>
      <c:catAx>
        <c:axId val="78842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6352"/>
        <c:crosses val="autoZero"/>
        <c:auto val="1"/>
        <c:lblAlgn val="ctr"/>
        <c:lblOffset val="100"/>
        <c:noMultiLvlLbl val="0"/>
      </c:catAx>
      <c:valAx>
        <c:axId val="788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时间预估!$M$41</c:f>
              <c:strCache>
                <c:ptCount val="1"/>
                <c:pt idx="0">
                  <c:v>50分位时间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时间预估!$M$42:$M$77</c:f>
              <c:numCache>
                <c:formatCode>0.00_ </c:formatCode>
                <c:ptCount val="36"/>
                <c:pt idx="0">
                  <c:v>0</c:v>
                </c:pt>
                <c:pt idx="1">
                  <c:v>28.985507246376809</c:v>
                </c:pt>
                <c:pt idx="2">
                  <c:v>32.608695652173907</c:v>
                </c:pt>
                <c:pt idx="3">
                  <c:v>35.469107551487411</c:v>
                </c:pt>
                <c:pt idx="4">
                  <c:v>40.66391274629261</c:v>
                </c:pt>
                <c:pt idx="5">
                  <c:v>46.575666387395422</c:v>
                </c:pt>
                <c:pt idx="6">
                  <c:v>52.372767836670782</c:v>
                </c:pt>
                <c:pt idx="7">
                  <c:v>69.095175863426633</c:v>
                </c:pt>
                <c:pt idx="8">
                  <c:v>78.039275242308619</c:v>
                </c:pt>
                <c:pt idx="9">
                  <c:v>86.356855582573274</c:v>
                </c:pt>
                <c:pt idx="10">
                  <c:v>91.696291127958474</c:v>
                </c:pt>
                <c:pt idx="11">
                  <c:v>102.37516221872887</c:v>
                </c:pt>
                <c:pt idx="12">
                  <c:v>113.05403330949929</c:v>
                </c:pt>
                <c:pt idx="13">
                  <c:v>123.7329044002697</c:v>
                </c:pt>
                <c:pt idx="14">
                  <c:v>134.41177549104012</c:v>
                </c:pt>
                <c:pt idx="15">
                  <c:v>145.09064658181052</c:v>
                </c:pt>
                <c:pt idx="16">
                  <c:v>166.44838876335135</c:v>
                </c:pt>
                <c:pt idx="17">
                  <c:v>187.80613094489217</c:v>
                </c:pt>
                <c:pt idx="18">
                  <c:v>209.163873126433</c:v>
                </c:pt>
                <c:pt idx="19">
                  <c:v>230.52161530797383</c:v>
                </c:pt>
                <c:pt idx="20">
                  <c:v>251.87935748951466</c:v>
                </c:pt>
                <c:pt idx="21">
                  <c:v>273.23709967105549</c:v>
                </c:pt>
                <c:pt idx="22">
                  <c:v>294.59484185259629</c:v>
                </c:pt>
                <c:pt idx="23">
                  <c:v>321.29201957952233</c:v>
                </c:pt>
                <c:pt idx="24">
                  <c:v>347.98919730644838</c:v>
                </c:pt>
                <c:pt idx="25">
                  <c:v>374.68637503337442</c:v>
                </c:pt>
                <c:pt idx="26">
                  <c:v>401.38355276030046</c:v>
                </c:pt>
                <c:pt idx="27">
                  <c:v>438.75960157799693</c:v>
                </c:pt>
                <c:pt idx="28">
                  <c:v>476.13565039569335</c:v>
                </c:pt>
                <c:pt idx="29">
                  <c:v>513.51169921338976</c:v>
                </c:pt>
                <c:pt idx="30">
                  <c:v>561.56661912185666</c:v>
                </c:pt>
                <c:pt idx="31">
                  <c:v>614.96097457570875</c:v>
                </c:pt>
                <c:pt idx="32">
                  <c:v>668.35533002956083</c:v>
                </c:pt>
                <c:pt idx="33">
                  <c:v>721.74968548341292</c:v>
                </c:pt>
                <c:pt idx="34">
                  <c:v>775.144040937265</c:v>
                </c:pt>
                <c:pt idx="35">
                  <c:v>828.53839639111709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3B2-A8E8-FB7434771325}"/>
            </c:ext>
          </c:extLst>
        </c:ser>
        <c:ser>
          <c:idx val="1"/>
          <c:order val="1"/>
          <c:tx>
            <c:strRef>
              <c:f>时间预估!$N$41</c:f>
              <c:strCache>
                <c:ptCount val="1"/>
                <c:pt idx="0">
                  <c:v>10分位时间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时间预估!$N$42:$N$77</c:f>
              <c:numCache>
                <c:formatCode>0.00_ </c:formatCode>
                <c:ptCount val="36"/>
                <c:pt idx="0">
                  <c:v>0</c:v>
                </c:pt>
                <c:pt idx="1">
                  <c:v>434.78260869565213</c:v>
                </c:pt>
                <c:pt idx="2">
                  <c:v>458.07453416149065</c:v>
                </c:pt>
                <c:pt idx="3">
                  <c:v>479.81366459627327</c:v>
                </c:pt>
                <c:pt idx="4">
                  <c:v>523.29192546583852</c:v>
                </c:pt>
                <c:pt idx="5">
                  <c:v>563.42570473005253</c:v>
                </c:pt>
                <c:pt idx="6">
                  <c:v>714.39188830493174</c:v>
                </c:pt>
                <c:pt idx="7">
                  <c:v>776.50368954716771</c:v>
                </c:pt>
                <c:pt idx="8">
                  <c:v>863.46021128629809</c:v>
                </c:pt>
                <c:pt idx="9">
                  <c:v>1019.354324765065</c:v>
                </c:pt>
                <c:pt idx="10">
                  <c:v>1063.8532605247833</c:v>
                </c:pt>
                <c:pt idx="11">
                  <c:v>1152.8511320442196</c:v>
                </c:pt>
                <c:pt idx="12">
                  <c:v>1241.849003563656</c:v>
                </c:pt>
                <c:pt idx="13">
                  <c:v>1330.8468750830923</c:v>
                </c:pt>
                <c:pt idx="14">
                  <c:v>1419.8447466025286</c:v>
                </c:pt>
                <c:pt idx="15">
                  <c:v>1508.842618121965</c:v>
                </c:pt>
                <c:pt idx="16">
                  <c:v>1686.8383611608376</c:v>
                </c:pt>
                <c:pt idx="17">
                  <c:v>1864.8341041997103</c:v>
                </c:pt>
                <c:pt idx="18">
                  <c:v>2042.8298472385829</c:v>
                </c:pt>
                <c:pt idx="19">
                  <c:v>2220.8255902774558</c:v>
                </c:pt>
                <c:pt idx="20">
                  <c:v>2398.8213333163285</c:v>
                </c:pt>
                <c:pt idx="21">
                  <c:v>2576.8170763552012</c:v>
                </c:pt>
                <c:pt idx="22">
                  <c:v>2754.8128193940738</c:v>
                </c:pt>
                <c:pt idx="23">
                  <c:v>2977.3074981926648</c:v>
                </c:pt>
                <c:pt idx="24">
                  <c:v>3199.8021769912557</c:v>
                </c:pt>
                <c:pt idx="25">
                  <c:v>3422.2968557898466</c:v>
                </c:pt>
                <c:pt idx="26">
                  <c:v>3644.7915345884376</c:v>
                </c:pt>
                <c:pt idx="27">
                  <c:v>3956.2840849064651</c:v>
                </c:pt>
                <c:pt idx="28">
                  <c:v>4267.7766352244926</c:v>
                </c:pt>
                <c:pt idx="29">
                  <c:v>4579.2691855425201</c:v>
                </c:pt>
                <c:pt idx="30">
                  <c:v>4979.7596073799841</c:v>
                </c:pt>
                <c:pt idx="31">
                  <c:v>5424.748964977166</c:v>
                </c:pt>
                <c:pt idx="32">
                  <c:v>5869.7383225743479</c:v>
                </c:pt>
                <c:pt idx="33">
                  <c:v>6314.7276801715298</c:v>
                </c:pt>
                <c:pt idx="34">
                  <c:v>6759.7170377687116</c:v>
                </c:pt>
                <c:pt idx="35">
                  <c:v>7204.7063953658935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3B2-A8E8-FB7434771325}"/>
            </c:ext>
          </c:extLst>
        </c:ser>
        <c:ser>
          <c:idx val="2"/>
          <c:order val="2"/>
          <c:tx>
            <c:strRef>
              <c:f>时间预估!$O$41</c:f>
              <c:strCache>
                <c:ptCount val="1"/>
                <c:pt idx="0">
                  <c:v>25分位时间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时间预估!$O$42:$O$77</c:f>
              <c:numCache>
                <c:formatCode>0.00_ </c:formatCode>
                <c:ptCount val="36"/>
                <c:pt idx="0">
                  <c:v>0</c:v>
                </c:pt>
                <c:pt idx="1">
                  <c:v>217.39130434782606</c:v>
                </c:pt>
                <c:pt idx="2">
                  <c:v>228.49213691026824</c:v>
                </c:pt>
                <c:pt idx="3">
                  <c:v>237.87593422024634</c:v>
                </c:pt>
                <c:pt idx="4">
                  <c:v>263.96289074198546</c:v>
                </c:pt>
                <c:pt idx="5">
                  <c:v>288.4194124811159</c:v>
                </c:pt>
                <c:pt idx="6">
                  <c:v>308.18225833091827</c:v>
                </c:pt>
                <c:pt idx="7">
                  <c:v>358.73837562111038</c:v>
                </c:pt>
                <c:pt idx="8">
                  <c:v>390.29517786514964</c:v>
                </c:pt>
                <c:pt idx="9">
                  <c:v>413.32847726895943</c:v>
                </c:pt>
                <c:pt idx="10">
                  <c:v>427.00978765543289</c:v>
                </c:pt>
                <c:pt idx="11">
                  <c:v>454.37240842837974</c:v>
                </c:pt>
                <c:pt idx="12">
                  <c:v>481.73502920132665</c:v>
                </c:pt>
                <c:pt idx="13">
                  <c:v>509.09764997427357</c:v>
                </c:pt>
                <c:pt idx="14">
                  <c:v>536.46027074722053</c:v>
                </c:pt>
                <c:pt idx="15">
                  <c:v>563.82289152016745</c:v>
                </c:pt>
                <c:pt idx="16">
                  <c:v>618.54813306606127</c:v>
                </c:pt>
                <c:pt idx="17">
                  <c:v>673.27337461195509</c:v>
                </c:pt>
                <c:pt idx="18">
                  <c:v>727.99861615784891</c:v>
                </c:pt>
                <c:pt idx="19">
                  <c:v>782.72385770374274</c:v>
                </c:pt>
                <c:pt idx="20">
                  <c:v>837.44909924963656</c:v>
                </c:pt>
                <c:pt idx="21">
                  <c:v>892.17434079553038</c:v>
                </c:pt>
                <c:pt idx="22">
                  <c:v>946.89958234142421</c:v>
                </c:pt>
                <c:pt idx="23">
                  <c:v>1015.3061342737915</c:v>
                </c:pt>
                <c:pt idx="24">
                  <c:v>1083.7126862061589</c:v>
                </c:pt>
                <c:pt idx="25">
                  <c:v>1152.1192381385263</c:v>
                </c:pt>
                <c:pt idx="26">
                  <c:v>1220.5257900708937</c:v>
                </c:pt>
                <c:pt idx="27">
                  <c:v>1316.294962776208</c:v>
                </c:pt>
                <c:pt idx="28">
                  <c:v>1412.0641354815223</c:v>
                </c:pt>
                <c:pt idx="29">
                  <c:v>1507.8333081868366</c:v>
                </c:pt>
                <c:pt idx="30">
                  <c:v>1630.9651016650978</c:v>
                </c:pt>
                <c:pt idx="31">
                  <c:v>1767.7782055298323</c:v>
                </c:pt>
                <c:pt idx="32">
                  <c:v>1904.5913093945669</c:v>
                </c:pt>
                <c:pt idx="33">
                  <c:v>2041.4044132593015</c:v>
                </c:pt>
                <c:pt idx="34">
                  <c:v>2178.217517124036</c:v>
                </c:pt>
                <c:pt idx="35">
                  <c:v>2315.0306209887708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3B2-A8E8-FB7434771325}"/>
            </c:ext>
          </c:extLst>
        </c:ser>
        <c:ser>
          <c:idx val="3"/>
          <c:order val="3"/>
          <c:tx>
            <c:strRef>
              <c:f>时间预估!$P$41</c:f>
              <c:strCache>
                <c:ptCount val="1"/>
                <c:pt idx="0">
                  <c:v>75分位时间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时间预估!$P$42:$P$77</c:f>
              <c:numCache>
                <c:formatCode>0.00_ </c:formatCode>
                <c:ptCount val="36"/>
                <c:pt idx="0">
                  <c:v>0</c:v>
                </c:pt>
                <c:pt idx="1">
                  <c:v>7.2463768115942022</c:v>
                </c:pt>
                <c:pt idx="2">
                  <c:v>8.3333333333333321</c:v>
                </c:pt>
                <c:pt idx="3">
                  <c:v>9.0871359985641842</c:v>
                </c:pt>
                <c:pt idx="4">
                  <c:v>10.259451761815015</c:v>
                </c:pt>
                <c:pt idx="5">
                  <c:v>11.928749891505568</c:v>
                </c:pt>
                <c:pt idx="6">
                  <c:v>14.433670270822082</c:v>
                </c:pt>
                <c:pt idx="7">
                  <c:v>17.622784760032246</c:v>
                </c:pt>
                <c:pt idx="8">
                  <c:v>20.834744931726117</c:v>
                </c:pt>
                <c:pt idx="9">
                  <c:v>24.497574348527564</c:v>
                </c:pt>
                <c:pt idx="10">
                  <c:v>26.97708737216972</c:v>
                </c:pt>
                <c:pt idx="11">
                  <c:v>31.936113419454031</c:v>
                </c:pt>
                <c:pt idx="12">
                  <c:v>36.895139466738343</c:v>
                </c:pt>
                <c:pt idx="13">
                  <c:v>41.854165514022654</c:v>
                </c:pt>
                <c:pt idx="14">
                  <c:v>46.813191561306965</c:v>
                </c:pt>
                <c:pt idx="15">
                  <c:v>51.772217608591276</c:v>
                </c:pt>
                <c:pt idx="16">
                  <c:v>61.690269703159899</c:v>
                </c:pt>
                <c:pt idx="17">
                  <c:v>71.608321797728522</c:v>
                </c:pt>
                <c:pt idx="18">
                  <c:v>81.526373892297144</c:v>
                </c:pt>
                <c:pt idx="19">
                  <c:v>91.444425986865767</c:v>
                </c:pt>
                <c:pt idx="20">
                  <c:v>101.36247808143439</c:v>
                </c:pt>
                <c:pt idx="21">
                  <c:v>111.28053017600301</c:v>
                </c:pt>
                <c:pt idx="22">
                  <c:v>121.19858227057163</c:v>
                </c:pt>
                <c:pt idx="23">
                  <c:v>133.59614738878241</c:v>
                </c:pt>
                <c:pt idx="24">
                  <c:v>145.99371250699321</c:v>
                </c:pt>
                <c:pt idx="25">
                  <c:v>158.391277625204</c:v>
                </c:pt>
                <c:pt idx="26">
                  <c:v>170.78884274341479</c:v>
                </c:pt>
                <c:pt idx="27">
                  <c:v>188.14543390890989</c:v>
                </c:pt>
                <c:pt idx="28">
                  <c:v>205.502025074405</c:v>
                </c:pt>
                <c:pt idx="29">
                  <c:v>222.8586162399001</c:v>
                </c:pt>
                <c:pt idx="30">
                  <c:v>245.17423345267952</c:v>
                </c:pt>
                <c:pt idx="31">
                  <c:v>269.9693636891011</c:v>
                </c:pt>
                <c:pt idx="32">
                  <c:v>294.76449392552269</c:v>
                </c:pt>
                <c:pt idx="33">
                  <c:v>319.55962416194427</c:v>
                </c:pt>
                <c:pt idx="34">
                  <c:v>344.35475439836586</c:v>
                </c:pt>
                <c:pt idx="35">
                  <c:v>369.14988463478744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D-43B2-A8E8-FB7434771325}"/>
            </c:ext>
          </c:extLst>
        </c:ser>
        <c:ser>
          <c:idx val="4"/>
          <c:order val="4"/>
          <c:tx>
            <c:strRef>
              <c:f>时间预估!$Q$41</c:f>
              <c:strCache>
                <c:ptCount val="1"/>
                <c:pt idx="0">
                  <c:v>90分位时间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时间预估!$Q$42:$Q$77</c:f>
              <c:numCache>
                <c:formatCode>0.00_ </c:formatCode>
                <c:ptCount val="36"/>
                <c:pt idx="0">
                  <c:v>0</c:v>
                </c:pt>
                <c:pt idx="1">
                  <c:v>2.2042210833746614</c:v>
                </c:pt>
                <c:pt idx="2">
                  <c:v>2.4591208950037</c:v>
                </c:pt>
                <c:pt idx="3">
                  <c:v>2.6044521291080964</c:v>
                </c:pt>
                <c:pt idx="4">
                  <c:v>2.9276415255240371</c:v>
                </c:pt>
                <c:pt idx="5">
                  <c:v>3.5641496565496023</c:v>
                </c:pt>
                <c:pt idx="6">
                  <c:v>4.6446233362107652</c:v>
                </c:pt>
                <c:pt idx="7">
                  <c:v>5.7912019456402275</c:v>
                </c:pt>
                <c:pt idx="8">
                  <c:v>7.0344904898874852</c:v>
                </c:pt>
                <c:pt idx="9">
                  <c:v>8.8351714746962848</c:v>
                </c:pt>
                <c:pt idx="10">
                  <c:v>10.128525580535904</c:v>
                </c:pt>
                <c:pt idx="11">
                  <c:v>12.715233792215141</c:v>
                </c:pt>
                <c:pt idx="12">
                  <c:v>15.301942003894379</c:v>
                </c:pt>
                <c:pt idx="13">
                  <c:v>17.888650215573616</c:v>
                </c:pt>
                <c:pt idx="14">
                  <c:v>20.475358427252853</c:v>
                </c:pt>
                <c:pt idx="15">
                  <c:v>23.062066638932091</c:v>
                </c:pt>
                <c:pt idx="16">
                  <c:v>28.235483062290566</c:v>
                </c:pt>
                <c:pt idx="17">
                  <c:v>33.408899485649037</c:v>
                </c:pt>
                <c:pt idx="18">
                  <c:v>38.582315909007512</c:v>
                </c:pt>
                <c:pt idx="19">
                  <c:v>43.755732332365987</c:v>
                </c:pt>
                <c:pt idx="20">
                  <c:v>48.929148755724462</c:v>
                </c:pt>
                <c:pt idx="21">
                  <c:v>54.102565179082937</c:v>
                </c:pt>
                <c:pt idx="22">
                  <c:v>59.275981602441412</c:v>
                </c:pt>
                <c:pt idx="23">
                  <c:v>65.742752131639506</c:v>
                </c:pt>
                <c:pt idx="24">
                  <c:v>72.209522660837592</c:v>
                </c:pt>
                <c:pt idx="25">
                  <c:v>78.676293190035679</c:v>
                </c:pt>
                <c:pt idx="26">
                  <c:v>85.143063719233766</c:v>
                </c:pt>
                <c:pt idx="27">
                  <c:v>94.19654246011109</c:v>
                </c:pt>
                <c:pt idx="28">
                  <c:v>103.25002120098841</c:v>
                </c:pt>
                <c:pt idx="29">
                  <c:v>112.30349994186574</c:v>
                </c:pt>
                <c:pt idx="30">
                  <c:v>123.9436868944223</c:v>
                </c:pt>
                <c:pt idx="31">
                  <c:v>136.87722795281849</c:v>
                </c:pt>
                <c:pt idx="32">
                  <c:v>149.81076901121466</c:v>
                </c:pt>
                <c:pt idx="33">
                  <c:v>162.74431006961083</c:v>
                </c:pt>
                <c:pt idx="34">
                  <c:v>175.67785112800701</c:v>
                </c:pt>
                <c:pt idx="35">
                  <c:v>188.61139218640318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D-43B2-A8E8-FB743477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34832"/>
        <c:axId val="783727944"/>
      </c:lineChart>
      <c:catAx>
        <c:axId val="7837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27944"/>
        <c:crosses val="autoZero"/>
        <c:auto val="1"/>
        <c:lblAlgn val="ctr"/>
        <c:lblOffset val="100"/>
        <c:noMultiLvlLbl val="0"/>
      </c:catAx>
      <c:valAx>
        <c:axId val="7837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95249</xdr:colOff>
      <xdr:row>1</xdr:row>
      <xdr:rowOff>41273</xdr:rowOff>
    </xdr:from>
    <xdr:to>
      <xdr:col>30</xdr:col>
      <xdr:colOff>238125</xdr:colOff>
      <xdr:row>18</xdr:row>
      <xdr:rowOff>166686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38A92A-7E73-4B8B-9967-B70F1A63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341313</xdr:colOff>
      <xdr:row>39</xdr:row>
      <xdr:rowOff>168274</xdr:rowOff>
    </xdr:from>
    <xdr:to>
      <xdr:col>31</xdr:col>
      <xdr:colOff>293688</xdr:colOff>
      <xdr:row>77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17CAC0-F3D9-4A28-AC7E-FDC9DA62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6"/>
  <sheetViews>
    <sheetView workbookViewId="0">
      <selection activeCell="B11" sqref="B11:E13"/>
    </sheetView>
  </sheetViews>
  <sheetFormatPr defaultColWidth="8.875" defaultRowHeight="14.25" x14ac:dyDescent="0.2"/>
  <cols>
    <col min="1" max="1" width="19.625" customWidth="1"/>
    <col min="2" max="2" width="14.125" customWidth="1"/>
    <col min="3" max="3" width="15.625" customWidth="1"/>
    <col min="4" max="4" width="11.5" customWidth="1"/>
    <col min="5" max="5" width="17.125" bestFit="1" customWidth="1"/>
    <col min="6" max="6" width="16.125" customWidth="1"/>
    <col min="7" max="7" width="17.125" bestFit="1" customWidth="1"/>
    <col min="8" max="8" width="13" bestFit="1" customWidth="1"/>
    <col min="9" max="9" width="25.5" bestFit="1" customWidth="1"/>
    <col min="10" max="10" width="19.125" customWidth="1"/>
    <col min="28" max="28" width="34.75" customWidth="1"/>
  </cols>
  <sheetData>
    <row r="1" spans="1:32" x14ac:dyDescent="0.2">
      <c r="A1" s="1" t="s">
        <v>1</v>
      </c>
    </row>
    <row r="2" spans="1:32" x14ac:dyDescent="0.2">
      <c r="A2" t="s">
        <v>0</v>
      </c>
    </row>
    <row r="3" spans="1:32" x14ac:dyDescent="0.2">
      <c r="A3" t="s">
        <v>2</v>
      </c>
    </row>
    <row r="5" spans="1:32" x14ac:dyDescent="0.2">
      <c r="A5" t="s">
        <v>122</v>
      </c>
    </row>
    <row r="6" spans="1:32" x14ac:dyDescent="0.2">
      <c r="A6" t="s">
        <v>1102</v>
      </c>
    </row>
    <row r="7" spans="1:32" x14ac:dyDescent="0.2">
      <c r="A7" t="s">
        <v>123</v>
      </c>
    </row>
    <row r="8" spans="1:32" x14ac:dyDescent="0.2">
      <c r="A8" t="s">
        <v>168</v>
      </c>
    </row>
    <row r="10" spans="1:32" x14ac:dyDescent="0.2">
      <c r="A10" s="2" t="s">
        <v>169</v>
      </c>
      <c r="B10" s="2" t="s">
        <v>173</v>
      </c>
      <c r="C10" s="2" t="s">
        <v>174</v>
      </c>
      <c r="D10" s="15" t="s">
        <v>175</v>
      </c>
      <c r="E10" s="15" t="s">
        <v>1003</v>
      </c>
      <c r="F10" s="15" t="s">
        <v>1004</v>
      </c>
      <c r="G10" s="15" t="s">
        <v>1105</v>
      </c>
      <c r="H10" s="2" t="s">
        <v>1106</v>
      </c>
      <c r="I10" s="15" t="s">
        <v>1107</v>
      </c>
      <c r="J10" s="15" t="s">
        <v>1108</v>
      </c>
    </row>
    <row r="11" spans="1:32" x14ac:dyDescent="0.2">
      <c r="A11" s="3" t="s">
        <v>170</v>
      </c>
      <c r="B11" s="14">
        <v>34.389473684210529</v>
      </c>
      <c r="C11" s="3">
        <v>0.2</v>
      </c>
      <c r="D11" s="3">
        <v>300</v>
      </c>
      <c r="E11" s="3">
        <v>70</v>
      </c>
      <c r="F11" s="3">
        <f>E11*C11</f>
        <v>14</v>
      </c>
      <c r="G11" s="21">
        <f>E11*$B$15</f>
        <v>3360</v>
      </c>
      <c r="H11" s="21">
        <f>G11*C11</f>
        <v>672</v>
      </c>
      <c r="I11" s="3">
        <f>H11*$B$16</f>
        <v>134.4</v>
      </c>
      <c r="J11" s="3">
        <f>ROUNDUP(G11*$B$16,0)</f>
        <v>672</v>
      </c>
      <c r="L11" s="3">
        <v>50</v>
      </c>
      <c r="M11" s="3">
        <v>100</v>
      </c>
      <c r="N11" s="3">
        <v>500</v>
      </c>
      <c r="P11">
        <v>320103</v>
      </c>
      <c r="Q11" t="str">
        <f>P11&amp;","</f>
        <v>320103,</v>
      </c>
      <c r="R11" t="str">
        <f>R10&amp;Q11</f>
        <v>320103,</v>
      </c>
      <c r="T11" t="str">
        <f>L11&amp;","</f>
        <v>50,</v>
      </c>
      <c r="U11" t="str">
        <f>U10&amp;T11</f>
        <v>50,</v>
      </c>
      <c r="V11" t="str">
        <f t="shared" ref="V11:V16" si="0">M11&amp;","</f>
        <v>100,</v>
      </c>
      <c r="W11" t="str">
        <f>W10&amp;V11</f>
        <v>100,</v>
      </c>
      <c r="X11" t="str">
        <f t="shared" ref="X11:X16" si="1">N11&amp;","</f>
        <v>500,</v>
      </c>
      <c r="Y11" t="str">
        <f>Y10&amp;X11</f>
        <v>500,</v>
      </c>
      <c r="AA11" t="str">
        <f>"("&amp;L11&amp;","&amp;L11&amp;")"</f>
        <v>(50,50)</v>
      </c>
      <c r="AB11" t="str">
        <f>AB10&amp;AA11&amp;","</f>
        <v>(50,50),</v>
      </c>
      <c r="AC11" t="str">
        <f t="shared" ref="AC11:AC16" si="2">"("&amp;M11&amp;","&amp;M11&amp;")"</f>
        <v>(100,100)</v>
      </c>
      <c r="AD11" t="str">
        <f>AD10&amp;AC11&amp;","</f>
        <v>(100,100),</v>
      </c>
      <c r="AE11" t="str">
        <f t="shared" ref="AE11:AE16" si="3">"("&amp;N11&amp;","&amp;N11&amp;")"</f>
        <v>(500,500)</v>
      </c>
      <c r="AF11" t="str">
        <f>AF10&amp;AE11&amp;","</f>
        <v>(500,500),</v>
      </c>
    </row>
    <row r="12" spans="1:32" x14ac:dyDescent="0.2">
      <c r="A12" s="3" t="s">
        <v>171</v>
      </c>
      <c r="B12" s="14">
        <v>21</v>
      </c>
      <c r="C12" s="3">
        <v>0.3</v>
      </c>
      <c r="D12" s="3">
        <v>200</v>
      </c>
      <c r="E12" s="3">
        <f>ROUNDDOWN(($E$11/$B$11)*B12,0)</f>
        <v>42</v>
      </c>
      <c r="F12" s="3">
        <f t="shared" ref="F12:F13" si="4">E12*C12</f>
        <v>12.6</v>
      </c>
      <c r="G12" s="21">
        <f>E12*$B$15</f>
        <v>2016</v>
      </c>
      <c r="H12" s="21">
        <f>G12*C12</f>
        <v>604.79999999999995</v>
      </c>
      <c r="I12" s="3">
        <f t="shared" ref="I12:I13" si="5">H12*$B$16</f>
        <v>120.96</v>
      </c>
      <c r="J12" s="3">
        <f t="shared" ref="J12:J13" si="6">ROUNDUP(G12*$B$16,0)</f>
        <v>404</v>
      </c>
      <c r="L12" s="3">
        <v>30</v>
      </c>
      <c r="M12" s="3">
        <v>60</v>
      </c>
      <c r="N12" s="3">
        <v>300</v>
      </c>
      <c r="P12">
        <v>320102</v>
      </c>
      <c r="Q12" t="str">
        <f t="shared" ref="Q12:Q16" si="7">P12&amp;","</f>
        <v>320102,</v>
      </c>
      <c r="R12" t="str">
        <f t="shared" ref="R12:R16" si="8">R11&amp;Q12</f>
        <v>320103,320102,</v>
      </c>
      <c r="T12" t="str">
        <f t="shared" ref="T12:T16" si="9">L12&amp;","</f>
        <v>30,</v>
      </c>
      <c r="U12" t="str">
        <f t="shared" ref="U12:U16" si="10">U11&amp;T12</f>
        <v>50,30,</v>
      </c>
      <c r="V12" t="str">
        <f t="shared" si="0"/>
        <v>60,</v>
      </c>
      <c r="W12" t="str">
        <f t="shared" ref="W12:W16" si="11">W11&amp;V12</f>
        <v>100,60,</v>
      </c>
      <c r="X12" t="str">
        <f t="shared" si="1"/>
        <v>300,</v>
      </c>
      <c r="Y12" t="str">
        <f t="shared" ref="Y12:Y16" si="12">Y11&amp;X12</f>
        <v>500,300,</v>
      </c>
      <c r="AA12" t="str">
        <f t="shared" ref="AA12:AA16" si="13">"("&amp;L12&amp;","&amp;L12&amp;")"</f>
        <v>(30,30)</v>
      </c>
      <c r="AB12" t="str">
        <f t="shared" ref="AB12:AF16" si="14">AB11&amp;AA12&amp;","</f>
        <v>(50,50),(30,30),</v>
      </c>
      <c r="AC12" t="str">
        <f t="shared" si="2"/>
        <v>(60,60)</v>
      </c>
      <c r="AD12" t="str">
        <f t="shared" si="14"/>
        <v>(100,100),(60,60),</v>
      </c>
      <c r="AE12" t="str">
        <f t="shared" si="3"/>
        <v>(300,300)</v>
      </c>
      <c r="AF12" t="str">
        <f t="shared" si="14"/>
        <v>(500,500),(300,300),</v>
      </c>
    </row>
    <row r="13" spans="1:32" x14ac:dyDescent="0.2">
      <c r="A13" s="3" t="s">
        <v>172</v>
      </c>
      <c r="B13" s="14">
        <v>6</v>
      </c>
      <c r="C13" s="3">
        <v>1</v>
      </c>
      <c r="D13" s="3">
        <v>60</v>
      </c>
      <c r="E13" s="3">
        <f>ROUNDDOWN(($E$11/$B$11)*B13,0)</f>
        <v>12</v>
      </c>
      <c r="F13" s="3">
        <f t="shared" si="4"/>
        <v>12</v>
      </c>
      <c r="G13" s="21">
        <f>E13*$B$15</f>
        <v>576</v>
      </c>
      <c r="H13" s="21">
        <f>G13*C13</f>
        <v>576</v>
      </c>
      <c r="I13" s="3">
        <f t="shared" si="5"/>
        <v>115.2</v>
      </c>
      <c r="J13" s="3">
        <f t="shared" si="6"/>
        <v>116</v>
      </c>
      <c r="L13" s="3">
        <v>10</v>
      </c>
      <c r="M13" s="3">
        <v>20</v>
      </c>
      <c r="N13" s="3">
        <v>100</v>
      </c>
      <c r="P13">
        <v>320101</v>
      </c>
      <c r="Q13" t="str">
        <f t="shared" si="7"/>
        <v>320101,</v>
      </c>
      <c r="R13" t="str">
        <f t="shared" si="8"/>
        <v>320103,320102,320101,</v>
      </c>
      <c r="T13" t="str">
        <f t="shared" si="9"/>
        <v>10,</v>
      </c>
      <c r="U13" t="str">
        <f t="shared" si="10"/>
        <v>50,30,10,</v>
      </c>
      <c r="V13" t="str">
        <f t="shared" si="0"/>
        <v>20,</v>
      </c>
      <c r="W13" t="str">
        <f t="shared" si="11"/>
        <v>100,60,20,</v>
      </c>
      <c r="X13" t="str">
        <f t="shared" si="1"/>
        <v>100,</v>
      </c>
      <c r="Y13" t="str">
        <f t="shared" si="12"/>
        <v>500,300,100,</v>
      </c>
      <c r="AA13" t="str">
        <f t="shared" si="13"/>
        <v>(10,10)</v>
      </c>
      <c r="AB13" t="str">
        <f t="shared" si="14"/>
        <v>(50,50),(30,30),(10,10),</v>
      </c>
      <c r="AC13" t="str">
        <f t="shared" si="2"/>
        <v>(20,20)</v>
      </c>
      <c r="AD13" t="str">
        <f t="shared" si="14"/>
        <v>(100,100),(60,60),(20,20),</v>
      </c>
      <c r="AE13" t="str">
        <f t="shared" si="3"/>
        <v>(100,100)</v>
      </c>
      <c r="AF13" t="str">
        <f t="shared" si="14"/>
        <v>(500,500),(300,300),(100,100),</v>
      </c>
    </row>
    <row r="14" spans="1:32" x14ac:dyDescent="0.2">
      <c r="A14" s="9"/>
      <c r="B14" s="58"/>
      <c r="C14" s="9"/>
      <c r="D14" s="9"/>
      <c r="E14" s="9"/>
      <c r="F14" s="9"/>
      <c r="L14" s="3">
        <v>50</v>
      </c>
      <c r="M14" s="3">
        <v>100</v>
      </c>
      <c r="N14" s="3">
        <v>500</v>
      </c>
      <c r="P14">
        <v>320106</v>
      </c>
      <c r="Q14" t="str">
        <f t="shared" si="7"/>
        <v>320106,</v>
      </c>
      <c r="R14" t="str">
        <f t="shared" si="8"/>
        <v>320103,320102,320101,320106,</v>
      </c>
      <c r="T14" t="str">
        <f t="shared" si="9"/>
        <v>50,</v>
      </c>
      <c r="U14" t="str">
        <f t="shared" si="10"/>
        <v>50,30,10,50,</v>
      </c>
      <c r="V14" t="str">
        <f t="shared" si="0"/>
        <v>100,</v>
      </c>
      <c r="W14" t="str">
        <f t="shared" si="11"/>
        <v>100,60,20,100,</v>
      </c>
      <c r="X14" t="str">
        <f t="shared" si="1"/>
        <v>500,</v>
      </c>
      <c r="Y14" t="str">
        <f t="shared" si="12"/>
        <v>500,300,100,500,</v>
      </c>
      <c r="AA14" t="str">
        <f t="shared" si="13"/>
        <v>(50,50)</v>
      </c>
      <c r="AB14" t="str">
        <f t="shared" si="14"/>
        <v>(50,50),(30,30),(10,10),(50,50),</v>
      </c>
      <c r="AC14" t="str">
        <f t="shared" si="2"/>
        <v>(100,100)</v>
      </c>
      <c r="AD14" t="str">
        <f t="shared" si="14"/>
        <v>(100,100),(60,60),(20,20),(100,100),</v>
      </c>
      <c r="AE14" t="str">
        <f t="shared" si="3"/>
        <v>(500,500)</v>
      </c>
      <c r="AF14" t="str">
        <f t="shared" si="14"/>
        <v>(500,500),(300,300),(100,100),(500,500),</v>
      </c>
    </row>
    <row r="15" spans="1:32" x14ac:dyDescent="0.2">
      <c r="A15" s="5" t="s">
        <v>1103</v>
      </c>
      <c r="B15" s="21">
        <v>48</v>
      </c>
      <c r="C15" s="59"/>
      <c r="D15" s="59"/>
      <c r="E15" s="9"/>
      <c r="F15" s="9"/>
      <c r="L15" s="3">
        <v>30</v>
      </c>
      <c r="M15" s="3">
        <v>60</v>
      </c>
      <c r="N15" s="3">
        <v>300</v>
      </c>
      <c r="P15">
        <v>320105</v>
      </c>
      <c r="Q15" t="str">
        <f t="shared" si="7"/>
        <v>320105,</v>
      </c>
      <c r="R15" t="str">
        <f t="shared" si="8"/>
        <v>320103,320102,320101,320106,320105,</v>
      </c>
      <c r="T15" t="str">
        <f t="shared" si="9"/>
        <v>30,</v>
      </c>
      <c r="U15" t="str">
        <f t="shared" si="10"/>
        <v>50,30,10,50,30,</v>
      </c>
      <c r="V15" t="str">
        <f t="shared" si="0"/>
        <v>60,</v>
      </c>
      <c r="W15" t="str">
        <f t="shared" si="11"/>
        <v>100,60,20,100,60,</v>
      </c>
      <c r="X15" t="str">
        <f t="shared" si="1"/>
        <v>300,</v>
      </c>
      <c r="Y15" t="str">
        <f t="shared" si="12"/>
        <v>500,300,100,500,300,</v>
      </c>
      <c r="AA15" t="str">
        <f t="shared" si="13"/>
        <v>(30,30)</v>
      </c>
      <c r="AB15" t="str">
        <f t="shared" si="14"/>
        <v>(50,50),(30,30),(10,10),(50,50),(30,30),</v>
      </c>
      <c r="AC15" t="str">
        <f t="shared" si="2"/>
        <v>(60,60)</v>
      </c>
      <c r="AD15" t="str">
        <f t="shared" si="14"/>
        <v>(100,100),(60,60),(20,20),(100,100),(60,60),</v>
      </c>
      <c r="AE15" t="str">
        <f t="shared" si="3"/>
        <v>(300,300)</v>
      </c>
      <c r="AF15" t="str">
        <f t="shared" si="14"/>
        <v>(500,500),(300,300),(100,100),(500,500),(300,300),</v>
      </c>
    </row>
    <row r="16" spans="1:32" x14ac:dyDescent="0.2">
      <c r="A16" s="5" t="s">
        <v>1104</v>
      </c>
      <c r="B16" s="14">
        <v>0.2</v>
      </c>
      <c r="C16" s="9"/>
      <c r="D16" s="9"/>
      <c r="E16" s="9"/>
      <c r="F16" s="9"/>
      <c r="L16" s="3">
        <v>10</v>
      </c>
      <c r="M16" s="3">
        <v>20</v>
      </c>
      <c r="N16" s="3">
        <v>100</v>
      </c>
      <c r="P16">
        <v>320104</v>
      </c>
      <c r="Q16" t="str">
        <f t="shared" si="7"/>
        <v>320104,</v>
      </c>
      <c r="R16" t="str">
        <f t="shared" si="8"/>
        <v>320103,320102,320101,320106,320105,320104,</v>
      </c>
      <c r="T16" t="str">
        <f t="shared" si="9"/>
        <v>10,</v>
      </c>
      <c r="U16" t="str">
        <f t="shared" si="10"/>
        <v>50,30,10,50,30,10,</v>
      </c>
      <c r="V16" t="str">
        <f t="shared" si="0"/>
        <v>20,</v>
      </c>
      <c r="W16" t="str">
        <f t="shared" si="11"/>
        <v>100,60,20,100,60,20,</v>
      </c>
      <c r="X16" t="str">
        <f t="shared" si="1"/>
        <v>100,</v>
      </c>
      <c r="Y16" t="str">
        <f t="shared" si="12"/>
        <v>500,300,100,500,300,100,</v>
      </c>
      <c r="AA16" t="str">
        <f t="shared" si="13"/>
        <v>(10,10)</v>
      </c>
      <c r="AB16" t="str">
        <f t="shared" si="14"/>
        <v>(50,50),(30,30),(10,10),(50,50),(30,30),(10,10),</v>
      </c>
      <c r="AC16" t="str">
        <f t="shared" si="2"/>
        <v>(20,20)</v>
      </c>
      <c r="AD16" t="str">
        <f t="shared" si="14"/>
        <v>(100,100),(60,60),(20,20),(100,100),(60,60),(20,20),</v>
      </c>
      <c r="AE16" t="str">
        <f t="shared" si="3"/>
        <v>(100,100)</v>
      </c>
      <c r="AF16" t="str">
        <f t="shared" si="14"/>
        <v>(500,500),(300,300),(100,100),(500,500),(300,300),(100,100),</v>
      </c>
    </row>
    <row r="17" spans="1:32" x14ac:dyDescent="0.2">
      <c r="A17" s="9"/>
      <c r="B17" s="58"/>
      <c r="C17" s="9"/>
      <c r="D17" s="9"/>
      <c r="E17" s="9"/>
      <c r="F17" s="9"/>
      <c r="R17" t="str">
        <f>"["&amp;LEFT(R16,LEN(R16)-1)&amp;"]"</f>
        <v>[320103,320102,320101,320106,320105,320104]</v>
      </c>
      <c r="U17" t="str">
        <f>"["&amp;LEFT(U16,LEN(U16)-1)&amp;"]"</f>
        <v>[50,30,10,50,30,10]</v>
      </c>
      <c r="W17" t="str">
        <f>"["&amp;LEFT(W16,LEN(W16)-1)&amp;"]"</f>
        <v>[100,60,20,100,60,20]</v>
      </c>
      <c r="Y17" t="str">
        <f>"["&amp;LEFT(Y16,LEN(Y16)-1)&amp;"]"</f>
        <v>[500,300,100,500,300,100]</v>
      </c>
      <c r="AB17" t="str">
        <f>"["&amp;LEFT(AB16,LEN(AB16)-1)&amp;"]"</f>
        <v>[(50,50),(30,30),(10,10),(50,50),(30,30),(10,10)]</v>
      </c>
      <c r="AD17" t="str">
        <f>"["&amp;LEFT(AD16,LEN(AD16)-1)&amp;"]"</f>
        <v>[(100,100),(60,60),(20,20),(100,100),(60,60),(20,20)]</v>
      </c>
      <c r="AF17" t="str">
        <f>"["&amp;LEFT(AF16,LEN(AF16)-1)&amp;"]"</f>
        <v>[(500,500),(300,300),(100,100),(500,500),(300,300),(100,100)]</v>
      </c>
    </row>
    <row r="18" spans="1:32" x14ac:dyDescent="0.2">
      <c r="A18" s="2" t="s">
        <v>182</v>
      </c>
      <c r="B18" s="2" t="s">
        <v>1001</v>
      </c>
      <c r="C18" s="2" t="s">
        <v>1002</v>
      </c>
    </row>
    <row r="19" spans="1:32" x14ac:dyDescent="0.2">
      <c r="A19" s="3" t="s">
        <v>176</v>
      </c>
      <c r="B19" s="32">
        <v>0.03</v>
      </c>
      <c r="C19" s="32">
        <v>0.04</v>
      </c>
    </row>
    <row r="20" spans="1:32" x14ac:dyDescent="0.2">
      <c r="A20" s="3" t="s">
        <v>177</v>
      </c>
      <c r="B20" s="32">
        <v>0.03</v>
      </c>
      <c r="C20" s="32">
        <v>0.04</v>
      </c>
    </row>
    <row r="21" spans="1:32" x14ac:dyDescent="0.2">
      <c r="A21" s="3" t="s">
        <v>178</v>
      </c>
      <c r="B21" s="32">
        <v>0.03</v>
      </c>
      <c r="C21" s="32">
        <v>0.04</v>
      </c>
    </row>
    <row r="22" spans="1:32" x14ac:dyDescent="0.2">
      <c r="A22" s="3" t="s">
        <v>179</v>
      </c>
      <c r="B22" s="32">
        <v>0.05</v>
      </c>
      <c r="C22" s="3">
        <v>0</v>
      </c>
    </row>
    <row r="23" spans="1:32" x14ac:dyDescent="0.2">
      <c r="A23" s="3" t="s">
        <v>180</v>
      </c>
      <c r="B23" s="32">
        <v>0.05</v>
      </c>
      <c r="C23" s="3">
        <v>0</v>
      </c>
    </row>
    <row r="24" spans="1:32" x14ac:dyDescent="0.2">
      <c r="A24" s="3" t="s">
        <v>181</v>
      </c>
      <c r="B24" s="32">
        <v>0.05</v>
      </c>
      <c r="C24" s="3">
        <v>0</v>
      </c>
    </row>
    <row r="26" spans="1:32" x14ac:dyDescent="0.2">
      <c r="A26" s="3" t="s">
        <v>1005</v>
      </c>
      <c r="B26" s="33">
        <f>F11/2200</f>
        <v>6.3636363636363638E-3</v>
      </c>
      <c r="P26" t="s">
        <v>1173</v>
      </c>
      <c r="Q26" t="str">
        <f>Q25&amp;P26</f>
        <v>153,</v>
      </c>
    </row>
    <row r="27" spans="1:32" x14ac:dyDescent="0.2">
      <c r="P27" t="s">
        <v>1173</v>
      </c>
      <c r="Q27" t="str">
        <f t="shared" ref="Q27:Q35" si="15">Q26&amp;P27</f>
        <v>153,153,</v>
      </c>
    </row>
    <row r="28" spans="1:32" x14ac:dyDescent="0.2">
      <c r="P28" t="s">
        <v>1172</v>
      </c>
      <c r="Q28" t="str">
        <f t="shared" si="15"/>
        <v>153,153,153,</v>
      </c>
    </row>
    <row r="29" spans="1:32" x14ac:dyDescent="0.2">
      <c r="P29" t="s">
        <v>1172</v>
      </c>
      <c r="Q29" t="str">
        <f t="shared" si="15"/>
        <v>153,153,153,153,</v>
      </c>
    </row>
    <row r="30" spans="1:32" x14ac:dyDescent="0.2">
      <c r="P30" t="s">
        <v>1172</v>
      </c>
      <c r="Q30" t="str">
        <f t="shared" si="15"/>
        <v>153,153,153,153,153,</v>
      </c>
    </row>
    <row r="31" spans="1:32" x14ac:dyDescent="0.2">
      <c r="P31" t="s">
        <v>1172</v>
      </c>
      <c r="Q31" t="str">
        <f t="shared" si="15"/>
        <v>153,153,153,153,153,153,</v>
      </c>
    </row>
    <row r="32" spans="1:32" x14ac:dyDescent="0.2">
      <c r="P32" t="s">
        <v>1172</v>
      </c>
      <c r="Q32" t="str">
        <f>Q31&amp;P32</f>
        <v>153,153,153,153,153,153,153,</v>
      </c>
    </row>
    <row r="33" spans="16:17" x14ac:dyDescent="0.2">
      <c r="P33" t="s">
        <v>1172</v>
      </c>
      <c r="Q33" t="str">
        <f t="shared" si="15"/>
        <v>153,153,153,153,153,153,153,153,</v>
      </c>
    </row>
    <row r="34" spans="16:17" x14ac:dyDescent="0.2">
      <c r="P34" t="s">
        <v>1172</v>
      </c>
      <c r="Q34" t="str">
        <f t="shared" si="15"/>
        <v>153,153,153,153,153,153,153,153,153,</v>
      </c>
    </row>
    <row r="35" spans="16:17" x14ac:dyDescent="0.2">
      <c r="P35" t="s">
        <v>1172</v>
      </c>
      <c r="Q35" t="str">
        <f t="shared" si="15"/>
        <v>153,153,153,153,153,153,153,153,153,153,</v>
      </c>
    </row>
    <row r="36" spans="16:17" x14ac:dyDescent="0.2">
      <c r="Q36" t="str">
        <f>"["&amp;LEFT(Q35,LEN(Q35)-1)&amp;"]"</f>
        <v>[153,153,153,153,153,153,153,153,153,153]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A26-D053-4714-B02A-6C7AACDB51CB}">
  <dimension ref="A1:R24"/>
  <sheetViews>
    <sheetView topLeftCell="G1" workbookViewId="0">
      <selection activeCell="R3" sqref="R3"/>
    </sheetView>
  </sheetViews>
  <sheetFormatPr defaultColWidth="8.875" defaultRowHeight="14.25" x14ac:dyDescent="0.2"/>
  <cols>
    <col min="4" max="4" width="11" bestFit="1" customWidth="1"/>
    <col min="8" max="9" width="13.125" customWidth="1"/>
    <col min="11" max="11" width="17.375" bestFit="1" customWidth="1"/>
    <col min="12" max="12" width="12.375" customWidth="1"/>
    <col min="14" max="14" width="13.875" bestFit="1" customWidth="1"/>
    <col min="15" max="15" width="13.125" customWidth="1"/>
    <col min="17" max="17" width="20.125" customWidth="1"/>
  </cols>
  <sheetData>
    <row r="1" spans="1:18" x14ac:dyDescent="0.2">
      <c r="A1" s="2" t="s">
        <v>1011</v>
      </c>
      <c r="B1" s="2" t="s">
        <v>912</v>
      </c>
      <c r="C1" s="2" t="s">
        <v>1012</v>
      </c>
      <c r="D1" s="2" t="s">
        <v>1024</v>
      </c>
      <c r="E1" s="1"/>
      <c r="F1" s="2" t="s">
        <v>1013</v>
      </c>
      <c r="G1" s="2" t="s">
        <v>1014</v>
      </c>
      <c r="H1" s="2" t="s">
        <v>1018</v>
      </c>
      <c r="I1" s="2" t="s">
        <v>1039</v>
      </c>
      <c r="K1" s="41" t="s">
        <v>1053</v>
      </c>
      <c r="N1" s="3" t="s">
        <v>1041</v>
      </c>
      <c r="O1" s="3">
        <v>5000</v>
      </c>
    </row>
    <row r="2" spans="1:18" x14ac:dyDescent="0.2">
      <c r="A2" s="3">
        <v>2</v>
      </c>
      <c r="B2" s="3">
        <v>3</v>
      </c>
      <c r="C2" s="3">
        <v>8</v>
      </c>
      <c r="D2" s="3">
        <f>SUM($F$2:$F$5)*(C2/4)</f>
        <v>52</v>
      </c>
      <c r="F2" s="3">
        <v>2</v>
      </c>
      <c r="G2" s="3" t="s">
        <v>1015</v>
      </c>
      <c r="H2" s="3" t="s">
        <v>1019</v>
      </c>
      <c r="I2" s="3">
        <v>1</v>
      </c>
      <c r="K2" s="38" t="s">
        <v>1050</v>
      </c>
      <c r="L2" s="21">
        <v>10</v>
      </c>
      <c r="N2" s="3" t="s">
        <v>1042</v>
      </c>
      <c r="O2" s="3">
        <v>0.3</v>
      </c>
      <c r="Q2" t="s">
        <v>842</v>
      </c>
      <c r="R2">
        <f>AVERAGEIFS(挂机玩法填表!$Z$167:$Z$247,挂机玩法填表!$V$167:$V$247,挂机玩法规划!Q2)</f>
        <v>0.58823529411764708</v>
      </c>
    </row>
    <row r="3" spans="1:18" x14ac:dyDescent="0.2">
      <c r="A3" s="3">
        <v>3</v>
      </c>
      <c r="B3" s="3">
        <v>4</v>
      </c>
      <c r="C3" s="3">
        <v>8</v>
      </c>
      <c r="D3" s="3">
        <f t="shared" ref="D3:D24" si="0">SUM($F$2:$F$5)*(C3/4)</f>
        <v>52</v>
      </c>
      <c r="F3" s="3">
        <v>4</v>
      </c>
      <c r="G3" s="3" t="s">
        <v>1015</v>
      </c>
      <c r="H3" s="3" t="s">
        <v>1019</v>
      </c>
      <c r="I3" s="3">
        <v>1</v>
      </c>
      <c r="K3" s="3" t="s">
        <v>1051</v>
      </c>
      <c r="L3" s="21">
        <v>20</v>
      </c>
      <c r="N3" s="3" t="s">
        <v>1040</v>
      </c>
      <c r="O3" s="3">
        <f>O1/24*O2</f>
        <v>62.5</v>
      </c>
      <c r="Q3" t="s">
        <v>841</v>
      </c>
      <c r="R3">
        <f>AVERAGEIFS(挂机玩法填表!$Z$167:$Z$247,挂机玩法填表!$V$167:$V$247,挂机玩法规划!Q3)</f>
        <v>1.3328943850267378</v>
      </c>
    </row>
    <row r="4" spans="1:18" x14ac:dyDescent="0.2">
      <c r="A4" s="3">
        <v>4</v>
      </c>
      <c r="B4" s="3">
        <v>6</v>
      </c>
      <c r="C4" s="3">
        <v>12</v>
      </c>
      <c r="D4" s="3">
        <f t="shared" si="0"/>
        <v>78</v>
      </c>
      <c r="F4" s="3">
        <v>8</v>
      </c>
      <c r="G4" s="3" t="s">
        <v>1015</v>
      </c>
      <c r="H4" s="3" t="s">
        <v>1019</v>
      </c>
      <c r="I4" s="3">
        <v>1</v>
      </c>
      <c r="K4" s="38" t="s">
        <v>909</v>
      </c>
      <c r="L4" s="42">
        <v>30</v>
      </c>
      <c r="N4" s="3" t="s">
        <v>1043</v>
      </c>
      <c r="O4" s="3">
        <v>2</v>
      </c>
      <c r="Q4" t="s">
        <v>837</v>
      </c>
      <c r="R4">
        <f>AVERAGEIFS(挂机玩法填表!$Z$167:$Z$247,挂机玩法填表!$V$167:$V$247,挂机玩法规划!Q4)</f>
        <v>1.1281507227891152</v>
      </c>
    </row>
    <row r="5" spans="1:18" x14ac:dyDescent="0.2">
      <c r="A5" s="3">
        <v>5</v>
      </c>
      <c r="B5" s="3">
        <v>7</v>
      </c>
      <c r="C5" s="3">
        <v>12</v>
      </c>
      <c r="D5" s="3">
        <f t="shared" si="0"/>
        <v>78</v>
      </c>
      <c r="F5" s="3">
        <v>12</v>
      </c>
      <c r="G5" s="3" t="s">
        <v>1015</v>
      </c>
      <c r="H5" s="3" t="s">
        <v>1019</v>
      </c>
      <c r="I5" s="3">
        <v>1</v>
      </c>
      <c r="K5" s="39" t="s">
        <v>1028</v>
      </c>
      <c r="L5" s="39">
        <v>4</v>
      </c>
    </row>
    <row r="6" spans="1:18" x14ac:dyDescent="0.2">
      <c r="A6" s="3">
        <v>6</v>
      </c>
      <c r="B6" s="3">
        <v>8</v>
      </c>
      <c r="C6" s="3">
        <v>12</v>
      </c>
      <c r="D6" s="3">
        <f t="shared" si="0"/>
        <v>78</v>
      </c>
      <c r="F6" s="3">
        <v>2</v>
      </c>
      <c r="G6" s="3" t="s">
        <v>1016</v>
      </c>
      <c r="H6" s="3" t="s">
        <v>1023</v>
      </c>
      <c r="I6" s="3">
        <v>2</v>
      </c>
    </row>
    <row r="7" spans="1:18" x14ac:dyDescent="0.2">
      <c r="A7" s="3">
        <v>7</v>
      </c>
      <c r="B7" s="3">
        <v>9</v>
      </c>
      <c r="C7" s="3">
        <v>12</v>
      </c>
      <c r="D7" s="3">
        <f t="shared" si="0"/>
        <v>78</v>
      </c>
      <c r="F7" s="3">
        <v>4</v>
      </c>
      <c r="G7" s="3" t="s">
        <v>1016</v>
      </c>
      <c r="H7" s="3" t="s">
        <v>1023</v>
      </c>
      <c r="I7" s="3">
        <v>2</v>
      </c>
    </row>
    <row r="8" spans="1:18" x14ac:dyDescent="0.2">
      <c r="A8" s="3">
        <v>8</v>
      </c>
      <c r="B8" s="3">
        <v>10</v>
      </c>
      <c r="C8" s="3">
        <v>16</v>
      </c>
      <c r="D8" s="3">
        <f t="shared" si="0"/>
        <v>104</v>
      </c>
      <c r="F8" s="3">
        <v>8</v>
      </c>
      <c r="G8" s="3" t="s">
        <v>1016</v>
      </c>
      <c r="H8" s="3" t="s">
        <v>1023</v>
      </c>
      <c r="I8" s="3">
        <v>2</v>
      </c>
    </row>
    <row r="9" spans="1:18" x14ac:dyDescent="0.2">
      <c r="A9" s="3">
        <v>9</v>
      </c>
      <c r="B9" s="3">
        <v>11</v>
      </c>
      <c r="C9" s="3">
        <v>16</v>
      </c>
      <c r="D9" s="3">
        <f t="shared" si="0"/>
        <v>104</v>
      </c>
      <c r="F9" s="3">
        <v>12</v>
      </c>
      <c r="G9" s="3" t="s">
        <v>1016</v>
      </c>
      <c r="H9" s="3" t="s">
        <v>1023</v>
      </c>
      <c r="I9" s="3">
        <v>2</v>
      </c>
    </row>
    <row r="10" spans="1:18" x14ac:dyDescent="0.2">
      <c r="A10" s="3">
        <v>10</v>
      </c>
      <c r="B10" s="3">
        <v>12</v>
      </c>
      <c r="C10" s="3">
        <v>16</v>
      </c>
      <c r="D10" s="3">
        <f t="shared" si="0"/>
        <v>104</v>
      </c>
      <c r="F10" s="3">
        <v>2</v>
      </c>
      <c r="G10" s="3" t="s">
        <v>1017</v>
      </c>
      <c r="H10" s="3" t="s">
        <v>1020</v>
      </c>
      <c r="I10" s="3">
        <v>3</v>
      </c>
    </row>
    <row r="11" spans="1:18" x14ac:dyDescent="0.2">
      <c r="A11" s="3">
        <v>11</v>
      </c>
      <c r="B11" s="3">
        <v>13</v>
      </c>
      <c r="C11" s="3">
        <v>16</v>
      </c>
      <c r="D11" s="3">
        <f t="shared" si="0"/>
        <v>104</v>
      </c>
      <c r="F11" s="3">
        <v>4</v>
      </c>
      <c r="G11" s="3" t="s">
        <v>1017</v>
      </c>
      <c r="H11" s="3" t="s">
        <v>1020</v>
      </c>
      <c r="I11" s="3">
        <v>3</v>
      </c>
    </row>
    <row r="12" spans="1:18" x14ac:dyDescent="0.2">
      <c r="A12" s="3">
        <v>12</v>
      </c>
      <c r="B12" s="3">
        <v>14</v>
      </c>
      <c r="C12" s="3">
        <v>16</v>
      </c>
      <c r="D12" s="3">
        <f t="shared" si="0"/>
        <v>104</v>
      </c>
      <c r="F12" s="3">
        <v>8</v>
      </c>
      <c r="G12" s="3" t="s">
        <v>1017</v>
      </c>
      <c r="H12" s="3" t="s">
        <v>1020</v>
      </c>
      <c r="I12" s="3">
        <v>3</v>
      </c>
    </row>
    <row r="13" spans="1:18" x14ac:dyDescent="0.2">
      <c r="A13" s="3">
        <v>13</v>
      </c>
      <c r="B13" s="3">
        <v>15</v>
      </c>
      <c r="C13" s="3">
        <v>16</v>
      </c>
      <c r="D13" s="3">
        <f t="shared" si="0"/>
        <v>104</v>
      </c>
      <c r="F13" s="3">
        <v>12</v>
      </c>
      <c r="G13" s="3" t="s">
        <v>1017</v>
      </c>
      <c r="H13" s="3" t="s">
        <v>1020</v>
      </c>
      <c r="I13" s="3">
        <v>3</v>
      </c>
    </row>
    <row r="14" spans="1:18" x14ac:dyDescent="0.2">
      <c r="A14" s="3">
        <v>14</v>
      </c>
      <c r="B14" s="3">
        <v>16</v>
      </c>
      <c r="C14" s="3">
        <v>16</v>
      </c>
      <c r="D14" s="3">
        <f t="shared" si="0"/>
        <v>104</v>
      </c>
      <c r="F14" s="3">
        <v>2</v>
      </c>
      <c r="G14" s="3" t="s">
        <v>1022</v>
      </c>
      <c r="H14" s="3" t="s">
        <v>1021</v>
      </c>
      <c r="I14" s="3">
        <v>4</v>
      </c>
    </row>
    <row r="15" spans="1:18" x14ac:dyDescent="0.2">
      <c r="A15" s="3">
        <v>15</v>
      </c>
      <c r="B15" s="3">
        <v>17</v>
      </c>
      <c r="C15" s="3">
        <v>16</v>
      </c>
      <c r="D15" s="3">
        <f t="shared" si="0"/>
        <v>104</v>
      </c>
      <c r="F15" s="3">
        <v>4</v>
      </c>
      <c r="G15" s="3" t="s">
        <v>1022</v>
      </c>
      <c r="H15" s="3" t="s">
        <v>1021</v>
      </c>
      <c r="I15" s="3">
        <v>4</v>
      </c>
    </row>
    <row r="16" spans="1:18" x14ac:dyDescent="0.2">
      <c r="A16" s="3">
        <v>16</v>
      </c>
      <c r="B16" s="3">
        <v>18</v>
      </c>
      <c r="C16" s="3">
        <v>16</v>
      </c>
      <c r="D16" s="3">
        <f t="shared" si="0"/>
        <v>104</v>
      </c>
      <c r="F16" s="3">
        <v>8</v>
      </c>
      <c r="G16" s="3" t="s">
        <v>1022</v>
      </c>
      <c r="H16" s="3" t="s">
        <v>1021</v>
      </c>
      <c r="I16" s="3">
        <v>4</v>
      </c>
    </row>
    <row r="17" spans="1:9" x14ac:dyDescent="0.2">
      <c r="A17" s="3">
        <v>17</v>
      </c>
      <c r="B17" s="3">
        <v>18</v>
      </c>
      <c r="C17" s="3">
        <v>16</v>
      </c>
      <c r="D17" s="3">
        <f t="shared" si="0"/>
        <v>104</v>
      </c>
      <c r="F17" s="3">
        <v>12</v>
      </c>
      <c r="G17" s="3" t="s">
        <v>1022</v>
      </c>
      <c r="H17" s="3" t="s">
        <v>1021</v>
      </c>
      <c r="I17" s="3">
        <v>4</v>
      </c>
    </row>
    <row r="18" spans="1:9" x14ac:dyDescent="0.2">
      <c r="A18" s="3">
        <v>18</v>
      </c>
      <c r="B18" s="3">
        <v>18</v>
      </c>
      <c r="C18" s="3">
        <v>16</v>
      </c>
      <c r="D18" s="3">
        <f t="shared" si="0"/>
        <v>104</v>
      </c>
    </row>
    <row r="19" spans="1:9" x14ac:dyDescent="0.2">
      <c r="A19" s="3">
        <v>19</v>
      </c>
      <c r="B19" s="3">
        <v>18</v>
      </c>
      <c r="C19" s="3">
        <v>16</v>
      </c>
      <c r="D19" s="3">
        <f t="shared" si="0"/>
        <v>104</v>
      </c>
    </row>
    <row r="20" spans="1:9" x14ac:dyDescent="0.2">
      <c r="A20" s="3">
        <v>20</v>
      </c>
      <c r="B20" s="3">
        <v>18</v>
      </c>
      <c r="C20" s="3">
        <v>16</v>
      </c>
      <c r="D20" s="3">
        <f t="shared" si="0"/>
        <v>104</v>
      </c>
    </row>
    <row r="21" spans="1:9" x14ac:dyDescent="0.2">
      <c r="A21" s="3">
        <v>21</v>
      </c>
      <c r="B21" s="3">
        <v>18</v>
      </c>
      <c r="C21" s="3">
        <v>16</v>
      </c>
      <c r="D21" s="3">
        <f t="shared" si="0"/>
        <v>104</v>
      </c>
    </row>
    <row r="22" spans="1:9" x14ac:dyDescent="0.2">
      <c r="A22" s="3">
        <v>22</v>
      </c>
      <c r="B22" s="3">
        <v>18</v>
      </c>
      <c r="C22" s="3">
        <v>16</v>
      </c>
      <c r="D22" s="3">
        <f t="shared" si="0"/>
        <v>104</v>
      </c>
    </row>
    <row r="23" spans="1:9" x14ac:dyDescent="0.2">
      <c r="A23" s="3">
        <v>23</v>
      </c>
      <c r="B23" s="3">
        <v>18</v>
      </c>
      <c r="C23" s="3">
        <v>16</v>
      </c>
      <c r="D23" s="3">
        <f t="shared" si="0"/>
        <v>104</v>
      </c>
    </row>
    <row r="24" spans="1:9" x14ac:dyDescent="0.2">
      <c r="A24" s="3">
        <v>24</v>
      </c>
      <c r="B24" s="3">
        <v>18</v>
      </c>
      <c r="C24" s="3">
        <v>16</v>
      </c>
      <c r="D24" s="3">
        <f t="shared" si="0"/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Y248"/>
  <sheetViews>
    <sheetView zoomScale="120" zoomScaleNormal="120" workbookViewId="0">
      <pane xSplit="5" ySplit="1" topLeftCell="F215" activePane="bottomRight" state="frozen"/>
      <selection pane="topRight" activeCell="D1" sqref="D1"/>
      <selection pane="bottomLeft" activeCell="A2" sqref="A2"/>
      <selection pane="bottomRight" activeCell="G225" sqref="G225"/>
    </sheetView>
  </sheetViews>
  <sheetFormatPr defaultColWidth="8.875" defaultRowHeight="14.25" x14ac:dyDescent="0.2"/>
  <cols>
    <col min="2" max="2" width="12" customWidth="1"/>
    <col min="3" max="4" width="10" customWidth="1"/>
    <col min="5" max="5" width="8.375" customWidth="1"/>
    <col min="6" max="6" width="11.5" customWidth="1"/>
    <col min="7" max="7" width="15.625" bestFit="1" customWidth="1"/>
    <col min="8" max="8" width="16.125" bestFit="1" customWidth="1"/>
    <col min="9" max="9" width="15.625" bestFit="1" customWidth="1"/>
    <col min="10" max="10" width="12.875" customWidth="1"/>
    <col min="11" max="11" width="10.5" customWidth="1"/>
    <col min="12" max="12" width="11.5" customWidth="1"/>
    <col min="13" max="13" width="10.5" customWidth="1"/>
    <col min="14" max="14" width="10.5" style="43" customWidth="1"/>
    <col min="15" max="15" width="13" style="43" bestFit="1" customWidth="1"/>
    <col min="16" max="18" width="14.125" bestFit="1" customWidth="1"/>
    <col min="19" max="19" width="13.5" customWidth="1"/>
    <col min="20" max="20" width="8" customWidth="1"/>
    <col min="21" max="21" width="12.875" customWidth="1"/>
    <col min="22" max="22" width="19.875" customWidth="1"/>
    <col min="23" max="23" width="10" bestFit="1" customWidth="1"/>
    <col min="24" max="24" width="14.125" bestFit="1" customWidth="1"/>
    <col min="25" max="25" width="14.125" customWidth="1"/>
    <col min="26" max="26" width="13.125" customWidth="1"/>
    <col min="27" max="27" width="11.875" customWidth="1"/>
    <col min="28" max="28" width="13.625" customWidth="1"/>
    <col min="29" max="29" width="4.625" customWidth="1"/>
    <col min="33" max="33" width="15.125" bestFit="1" customWidth="1"/>
    <col min="34" max="34" width="15.875" bestFit="1" customWidth="1"/>
    <col min="35" max="39" width="10.125" style="18" customWidth="1"/>
    <col min="47" max="47" width="11" bestFit="1" customWidth="1"/>
  </cols>
  <sheetData>
    <row r="1" spans="1:51" x14ac:dyDescent="0.2">
      <c r="A1" t="s">
        <v>183</v>
      </c>
      <c r="B1" t="s">
        <v>184</v>
      </c>
      <c r="C1" t="s">
        <v>1109</v>
      </c>
      <c r="D1" t="s">
        <v>1138</v>
      </c>
      <c r="E1" t="s">
        <v>1026</v>
      </c>
      <c r="F1" t="s">
        <v>185</v>
      </c>
      <c r="G1" t="s">
        <v>186</v>
      </c>
      <c r="H1" t="s">
        <v>187</v>
      </c>
      <c r="I1" t="s">
        <v>188</v>
      </c>
      <c r="J1" t="s">
        <v>1119</v>
      </c>
      <c r="K1" t="s">
        <v>1120</v>
      </c>
      <c r="L1" t="s">
        <v>1121</v>
      </c>
      <c r="M1" t="s">
        <v>1027</v>
      </c>
      <c r="N1" s="43" t="s">
        <v>1129</v>
      </c>
      <c r="O1" s="43" t="s">
        <v>1052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862</v>
      </c>
      <c r="X1" t="s">
        <v>196</v>
      </c>
      <c r="Y1" t="s">
        <v>863</v>
      </c>
      <c r="Z1" t="s">
        <v>1135</v>
      </c>
      <c r="AA1" t="s">
        <v>1136</v>
      </c>
      <c r="AB1" t="s">
        <v>1137</v>
      </c>
    </row>
    <row r="2" spans="1:51" s="17" customFormat="1" x14ac:dyDescent="0.2">
      <c r="A2" s="17">
        <v>1</v>
      </c>
      <c r="B2" s="34" t="s">
        <v>1025</v>
      </c>
      <c r="C2" s="34">
        <v>1</v>
      </c>
      <c r="D2" s="34" t="s">
        <v>1139</v>
      </c>
      <c r="E2" s="17" t="s">
        <v>1029</v>
      </c>
      <c r="F2" s="17">
        <v>3</v>
      </c>
      <c r="G2" s="17" t="s">
        <v>803</v>
      </c>
      <c r="J2" s="17">
        <v>1</v>
      </c>
      <c r="K2" s="17">
        <v>1</v>
      </c>
      <c r="L2" s="17">
        <v>1</v>
      </c>
      <c r="M2" s="35">
        <f>(IF(G2="",挂机玩法规划!$L$2,VLOOKUP(G2,物品id!A:D,4,FALSE)*IF(J2=0,1,4))*IF(J2=0,1,J2)+IF(H2="",挂机玩法规划!$L$2,VLOOKUP(H2,物品id!A:D,4,FALSE)*IF(K2=0,1,4))*IF(K2=0,1,K2)+IF(I2="",挂机玩法规划!$L$2,VLOOKUP(I2,物品id!A:D,4,FALSE)*IF(L2=0,1,4))*IF(L2=0,1,L2))/O2</f>
        <v>1</v>
      </c>
      <c r="N2" s="44">
        <f>IF(G2="",挂机玩法规划!$L$2,VLOOKUP(G2,物品id!A:D,4,FALSE)*4)+IF(H2="",挂机玩法规划!$L$2,VLOOKUP(H2,物品id!A:D,4,FALSE)*4)+IF(I2="",挂机玩法规划!$L$2,VLOOKUP(I2,物品id!A:D,4,FALSE)*4)</f>
        <v>60</v>
      </c>
      <c r="O2" s="44">
        <v>60</v>
      </c>
      <c r="P2" s="17">
        <v>1</v>
      </c>
      <c r="Q2" s="17" t="s">
        <v>1131</v>
      </c>
      <c r="R2" s="17" t="s">
        <v>1131</v>
      </c>
      <c r="S2" s="17">
        <v>120</v>
      </c>
      <c r="T2" s="17" t="s">
        <v>835</v>
      </c>
      <c r="U2" s="17">
        <v>120</v>
      </c>
      <c r="V2" s="17" t="s">
        <v>864</v>
      </c>
      <c r="W2" s="17" t="s">
        <v>200</v>
      </c>
      <c r="X2" s="17">
        <v>1</v>
      </c>
      <c r="Y2" s="17">
        <f>U2*挂机玩法规划!$O$4*VLOOKUP(E2,挂机玩法规划!$G$2:$I$17,3,FALSE)</f>
        <v>240</v>
      </c>
      <c r="Z2" s="17">
        <f>X2*M2</f>
        <v>1</v>
      </c>
      <c r="AA2" s="17">
        <f>Y2*M2</f>
        <v>240</v>
      </c>
      <c r="AB2" s="17">
        <f>(VLOOKUP(V2,物品id!A:E,5,FALSE)*挂机玩法填表!Z2+VLOOKUP(挂机玩法填表!W2,物品id!A:E,5,FALSE)*挂机玩法填表!AA2)/(U2/60)</f>
        <v>12.64</v>
      </c>
      <c r="AD2" s="17" t="str">
        <f>IF(G2="","",VLOOKUP(G2,物品id!$A:$B,2,FALSE)&amp;",")</f>
        <v>1111,</v>
      </c>
      <c r="AE2" s="17" t="str">
        <f>IF(H2="","",VLOOKUP(H2,物品id!$A:$B,2,FALSE)&amp;",")</f>
        <v/>
      </c>
      <c r="AF2" s="17" t="str">
        <f>IF(I2="","",VLOOKUP(I2,物品id!$A:$B,2,FALSE)&amp;",")</f>
        <v/>
      </c>
      <c r="AG2" s="17" t="str">
        <f>AD2&amp;AE2&amp;AF2</f>
        <v>1111,</v>
      </c>
      <c r="AH2" s="17" t="str">
        <f>"["&amp;LEFT(AG2,LEN(AG2)-1)&amp;"]"</f>
        <v>[1111]</v>
      </c>
      <c r="AI2" s="17" t="str">
        <f t="shared" ref="AI2:AI33" si="0">IF(P2="","",P2&amp;",")</f>
        <v>1,</v>
      </c>
      <c r="AJ2" s="17" t="str">
        <f t="shared" ref="AJ2:AJ33" si="1">IF(Q2="","",Q2&amp;",")</f>
        <v/>
      </c>
      <c r="AK2" s="17" t="str">
        <f t="shared" ref="AK2:AK33" si="2">IF(R2="","",R2&amp;",")</f>
        <v/>
      </c>
      <c r="AL2" s="17" t="str">
        <f>AI2&amp;AJ2&amp;AK2</f>
        <v>1,</v>
      </c>
      <c r="AM2" s="17" t="str">
        <f>"["&amp;LEFT(AL2,LEN(AL2)-1)&amp;"]"</f>
        <v>[1]</v>
      </c>
      <c r="AN2" s="17" t="str">
        <f>VLOOKUP(T2,物品id!$A:$B,2,FALSE)&amp;","</f>
        <v>102,</v>
      </c>
      <c r="AO2" s="17" t="str">
        <f>"["&amp;LEFT(AN2,LEN(AN2)-1)&amp;"]"</f>
        <v>[102]</v>
      </c>
      <c r="AP2" s="17" t="str">
        <f t="shared" ref="AP2:AP65" si="3">U2&amp;","</f>
        <v>120,</v>
      </c>
      <c r="AQ2" s="17" t="str">
        <f>"["&amp;LEFT(AP2,LEN(AP2)-1)&amp;"]"</f>
        <v>[120]</v>
      </c>
      <c r="AR2" s="17" t="str">
        <f>IF(V2="","",VLOOKUP(V2,物品id!$A:$B,2,FALSE)&amp;",")</f>
        <v>20039,</v>
      </c>
      <c r="AS2" s="17" t="str">
        <f>IF(W2="","",VLOOKUP(W2,物品id!$A:$B,2,FALSE)&amp;",")</f>
        <v>102,</v>
      </c>
      <c r="AT2" s="17" t="str">
        <f>AR2&amp;AS2</f>
        <v>20039,102,</v>
      </c>
      <c r="AU2" s="17" t="str">
        <f>"["&amp;LEFT(AT2,LEN(AT2)-1)&amp;"]"</f>
        <v>[20039,102]</v>
      </c>
      <c r="AV2" s="17" t="str">
        <f t="shared" ref="AV2:AV65" si="4">IF(X2="","",X2&amp;",")</f>
        <v>1,</v>
      </c>
      <c r="AW2" s="17" t="str">
        <f t="shared" ref="AW2:AW65" si="5">IF(Y2="","",Y2&amp;",")</f>
        <v>240,</v>
      </c>
      <c r="AX2" s="17" t="str">
        <f>AV2&amp;AW2</f>
        <v>1,240,</v>
      </c>
      <c r="AY2" s="17" t="str">
        <f>"["&amp;LEFT(AX2,LEN(AX2)-1)&amp;"]"</f>
        <v>[1,240]</v>
      </c>
    </row>
    <row r="3" spans="1:51" s="17" customFormat="1" x14ac:dyDescent="0.2">
      <c r="A3" s="17">
        <v>1</v>
      </c>
      <c r="B3" s="34" t="s">
        <v>1025</v>
      </c>
      <c r="C3" s="34">
        <v>1</v>
      </c>
      <c r="D3" s="34" t="s">
        <v>1139</v>
      </c>
      <c r="E3" s="17" t="s">
        <v>1015</v>
      </c>
      <c r="F3" s="17">
        <v>3</v>
      </c>
      <c r="G3" s="17" t="s">
        <v>814</v>
      </c>
      <c r="J3" s="17">
        <v>1</v>
      </c>
      <c r="K3" s="17">
        <v>1</v>
      </c>
      <c r="L3" s="17">
        <v>1</v>
      </c>
      <c r="M3" s="35">
        <f>(IF(G3="",挂机玩法规划!$L$2,VLOOKUP(G3,物品id!A:D,4,FALSE)*IF(J3=0,1,4))*IF(J3=0,1,J3)+IF(H3="",挂机玩法规划!$L$2,VLOOKUP(H3,物品id!A:D,4,FALSE)*IF(K3=0,1,4))*IF(K3=0,1,K3)+IF(I3="",挂机玩法规划!$L$2,VLOOKUP(I3,物品id!A:D,4,FALSE)*IF(L3=0,1,4))*IF(L3=0,1,L3))/O3</f>
        <v>1</v>
      </c>
      <c r="N3" s="44">
        <f>IF(G3="",挂机玩法规划!$L$2,VLOOKUP(G3,物品id!A:D,4,FALSE)*4)+IF(H3="",挂机玩法规划!$L$2,VLOOKUP(H3,物品id!A:D,4,FALSE)*4)+IF(I3="",挂机玩法规划!$L$2,VLOOKUP(I3,物品id!A:D,4,FALSE)*4)</f>
        <v>60</v>
      </c>
      <c r="O3" s="44">
        <v>60</v>
      </c>
      <c r="P3" s="17">
        <v>1</v>
      </c>
      <c r="Q3" s="17" t="s">
        <v>1131</v>
      </c>
      <c r="R3" s="17" t="s">
        <v>1131</v>
      </c>
      <c r="S3" s="17">
        <v>120</v>
      </c>
      <c r="T3" s="17" t="s">
        <v>835</v>
      </c>
      <c r="U3" s="17">
        <v>120</v>
      </c>
      <c r="V3" s="17" t="s">
        <v>864</v>
      </c>
      <c r="W3" s="17" t="s">
        <v>200</v>
      </c>
      <c r="X3" s="17">
        <v>1</v>
      </c>
      <c r="Y3" s="17">
        <f>U3*挂机玩法规划!$O$4*VLOOKUP(E3,挂机玩法规划!$G$2:$I$17,3,FALSE)</f>
        <v>240</v>
      </c>
      <c r="Z3" s="17">
        <f t="shared" ref="Z3:Z66" si="6">X3*M3</f>
        <v>1</v>
      </c>
      <c r="AA3" s="17">
        <f t="shared" ref="AA3:AA66" si="7">Y3*M3</f>
        <v>240</v>
      </c>
      <c r="AB3" s="17">
        <f>(VLOOKUP(V3,物品id!A:E,5,FALSE)*挂机玩法填表!Z3+VLOOKUP(挂机玩法填表!W3,物品id!A:E,5,FALSE)*挂机玩法填表!AA3)/(U3/60)</f>
        <v>12.64</v>
      </c>
      <c r="AD3" s="17" t="str">
        <f>IF(G3="","",VLOOKUP(G3,物品id!$A:$B,2,FALSE)&amp;",")</f>
        <v>2111,</v>
      </c>
      <c r="AE3" s="17" t="str">
        <f>IF(H3="","",VLOOKUP(H3,物品id!$A:$B,2,FALSE)&amp;",")</f>
        <v/>
      </c>
      <c r="AF3" s="17" t="str">
        <f>IF(I3="","",VLOOKUP(I3,物品id!$A:$B,2,FALSE)&amp;",")</f>
        <v/>
      </c>
      <c r="AG3" s="17" t="str">
        <f>AD3&amp;AE3&amp;AF3</f>
        <v>2111,</v>
      </c>
      <c r="AH3" s="17" t="str">
        <f>"["&amp;LEFT(AG3,LEN(AG3)-1)&amp;"]"</f>
        <v>[2111]</v>
      </c>
      <c r="AI3" s="17" t="str">
        <f t="shared" si="0"/>
        <v>1,</v>
      </c>
      <c r="AJ3" s="17" t="str">
        <f t="shared" si="1"/>
        <v/>
      </c>
      <c r="AK3" s="17" t="str">
        <f t="shared" si="2"/>
        <v/>
      </c>
      <c r="AL3" s="17" t="str">
        <f>AI3&amp;AJ3&amp;AK3</f>
        <v>1,</v>
      </c>
      <c r="AM3" s="17" t="str">
        <f>"["&amp;LEFT(AL3,LEN(AL3)-1)&amp;"]"</f>
        <v>[1]</v>
      </c>
      <c r="AN3" s="17" t="str">
        <f>VLOOKUP(T3,物品id!$A:$B,2,FALSE)&amp;","</f>
        <v>102,</v>
      </c>
      <c r="AO3" s="17" t="str">
        <f t="shared" ref="AO3:AO66" si="8">"["&amp;LEFT(AN3,LEN(AN3)-1)&amp;"]"</f>
        <v>[102]</v>
      </c>
      <c r="AP3" s="17" t="str">
        <f t="shared" si="3"/>
        <v>120,</v>
      </c>
      <c r="AQ3" s="17" t="str">
        <f t="shared" ref="AQ3:AQ66" si="9">"["&amp;LEFT(AP3,LEN(AP3)-1)&amp;"]"</f>
        <v>[120]</v>
      </c>
      <c r="AR3" s="17" t="str">
        <f>IF(V3="","",VLOOKUP(V3,物品id!$A:$B,2,FALSE)&amp;",")</f>
        <v>20039,</v>
      </c>
      <c r="AS3" s="17" t="str">
        <f>IF(W3="","",VLOOKUP(W3,物品id!$A:$B,2,FALSE)&amp;",")</f>
        <v>102,</v>
      </c>
      <c r="AT3" s="17" t="str">
        <f>AR3&amp;AS3</f>
        <v>20039,102,</v>
      </c>
      <c r="AU3" s="17" t="str">
        <f>"["&amp;LEFT(AT3,LEN(AT3)-1)&amp;"]"</f>
        <v>[20039,102]</v>
      </c>
      <c r="AV3" s="17" t="str">
        <f t="shared" si="4"/>
        <v>1,</v>
      </c>
      <c r="AW3" s="17" t="str">
        <f t="shared" si="5"/>
        <v>240,</v>
      </c>
      <c r="AX3" s="17" t="str">
        <f>AV3&amp;AW3</f>
        <v>1,240,</v>
      </c>
      <c r="AY3" s="17" t="str">
        <f>"["&amp;LEFT(AX3,LEN(AX3)-1)&amp;"]"</f>
        <v>[1,240]</v>
      </c>
    </row>
    <row r="4" spans="1:51" s="17" customFormat="1" x14ac:dyDescent="0.2">
      <c r="A4" s="17">
        <v>1</v>
      </c>
      <c r="B4" s="34" t="s">
        <v>1025</v>
      </c>
      <c r="C4" s="34">
        <v>1</v>
      </c>
      <c r="D4" s="34" t="s">
        <v>1139</v>
      </c>
      <c r="E4" s="17" t="s">
        <v>1015</v>
      </c>
      <c r="F4" s="17">
        <v>3</v>
      </c>
      <c r="G4" s="17" t="s">
        <v>824</v>
      </c>
      <c r="J4" s="17">
        <v>1</v>
      </c>
      <c r="K4" s="17">
        <v>1</v>
      </c>
      <c r="L4" s="17">
        <v>1</v>
      </c>
      <c r="M4" s="35">
        <f>(IF(G4="",挂机玩法规划!$L$2,VLOOKUP(G4,物品id!A:D,4,FALSE)*IF(J4=0,1,4))*IF(J4=0,1,J4)+IF(H4="",挂机玩法规划!$L$2,VLOOKUP(H4,物品id!A:D,4,FALSE)*IF(K4=0,1,4))*IF(K4=0,1,K4)+IF(I4="",挂机玩法规划!$L$2,VLOOKUP(I4,物品id!A:D,4,FALSE)*IF(L4=0,1,4))*IF(L4=0,1,L4))/O4</f>
        <v>1</v>
      </c>
      <c r="N4" s="44">
        <f>IF(G4="",挂机玩法规划!$L$2,VLOOKUP(G4,物品id!A:D,4,FALSE)*4)+IF(H4="",挂机玩法规划!$L$2,VLOOKUP(H4,物品id!A:D,4,FALSE)*4)+IF(I4="",挂机玩法规划!$L$2,VLOOKUP(I4,物品id!A:D,4,FALSE)*4)</f>
        <v>60</v>
      </c>
      <c r="O4" s="44">
        <v>60</v>
      </c>
      <c r="P4" s="17">
        <v>1</v>
      </c>
      <c r="Q4" s="17" t="s">
        <v>1131</v>
      </c>
      <c r="R4" s="17" t="s">
        <v>1131</v>
      </c>
      <c r="S4" s="17">
        <v>120</v>
      </c>
      <c r="T4" s="17" t="s">
        <v>835</v>
      </c>
      <c r="U4" s="17">
        <v>120</v>
      </c>
      <c r="V4" s="17" t="s">
        <v>864</v>
      </c>
      <c r="W4" s="17" t="s">
        <v>200</v>
      </c>
      <c r="X4" s="17">
        <v>1</v>
      </c>
      <c r="Y4" s="17">
        <f>U4*挂机玩法规划!$O$4*VLOOKUP(E4,挂机玩法规划!$G$2:$I$17,3,FALSE)</f>
        <v>240</v>
      </c>
      <c r="Z4" s="17">
        <f t="shared" si="6"/>
        <v>1</v>
      </c>
      <c r="AA4" s="17">
        <f t="shared" si="7"/>
        <v>240</v>
      </c>
      <c r="AB4" s="17">
        <f>(VLOOKUP(V4,物品id!A:E,5,FALSE)*挂机玩法填表!Z4+VLOOKUP(挂机玩法填表!W4,物品id!A:E,5,FALSE)*挂机玩法填表!AA4)/(U4/60)</f>
        <v>12.64</v>
      </c>
      <c r="AD4" s="17" t="str">
        <f>IF(G4="","",VLOOKUP(G4,物品id!$A:$B,2,FALSE)&amp;",")</f>
        <v>3111,</v>
      </c>
      <c r="AE4" s="17" t="str">
        <f>IF(H4="","",VLOOKUP(H4,物品id!$A:$B,2,FALSE)&amp;",")</f>
        <v/>
      </c>
      <c r="AF4" s="17" t="str">
        <f>IF(I4="","",VLOOKUP(I4,物品id!$A:$B,2,FALSE)&amp;",")</f>
        <v/>
      </c>
      <c r="AG4" s="17" t="str">
        <f>AD4&amp;AE4&amp;AF4</f>
        <v>3111,</v>
      </c>
      <c r="AH4" s="17" t="str">
        <f>"["&amp;LEFT(AG4,LEN(AG4)-1)&amp;"]"</f>
        <v>[3111]</v>
      </c>
      <c r="AI4" s="17" t="str">
        <f t="shared" si="0"/>
        <v>1,</v>
      </c>
      <c r="AJ4" s="17" t="str">
        <f t="shared" si="1"/>
        <v/>
      </c>
      <c r="AK4" s="17" t="str">
        <f t="shared" si="2"/>
        <v/>
      </c>
      <c r="AL4" s="17" t="str">
        <f>AI4&amp;AJ4&amp;AK4</f>
        <v>1,</v>
      </c>
      <c r="AM4" s="17" t="str">
        <f>"["&amp;LEFT(AL4,LEN(AL4)-1)&amp;"]"</f>
        <v>[1]</v>
      </c>
      <c r="AN4" s="17" t="str">
        <f>VLOOKUP(T4,物品id!$A:$B,2,FALSE)&amp;","</f>
        <v>102,</v>
      </c>
      <c r="AO4" s="17" t="str">
        <f t="shared" si="8"/>
        <v>[102]</v>
      </c>
      <c r="AP4" s="17" t="str">
        <f t="shared" si="3"/>
        <v>120,</v>
      </c>
      <c r="AQ4" s="17" t="str">
        <f t="shared" si="9"/>
        <v>[120]</v>
      </c>
      <c r="AR4" s="17" t="str">
        <f>IF(V4="","",VLOOKUP(V4,物品id!$A:$B,2,FALSE)&amp;",")</f>
        <v>20039,</v>
      </c>
      <c r="AS4" s="17" t="str">
        <f>IF(W4="","",VLOOKUP(W4,物品id!$A:$B,2,FALSE)&amp;",")</f>
        <v>102,</v>
      </c>
      <c r="AT4" s="17" t="str">
        <f>AR4&amp;AS4</f>
        <v>20039,102,</v>
      </c>
      <c r="AU4" s="17" t="str">
        <f>"["&amp;LEFT(AT4,LEN(AT4)-1)&amp;"]"</f>
        <v>[20039,102]</v>
      </c>
      <c r="AV4" s="17" t="str">
        <f t="shared" si="4"/>
        <v>1,</v>
      </c>
      <c r="AW4" s="17" t="str">
        <f t="shared" si="5"/>
        <v>240,</v>
      </c>
      <c r="AX4" s="17" t="str">
        <f>AV4&amp;AW4</f>
        <v>1,240,</v>
      </c>
      <c r="AY4" s="17" t="str">
        <f>"["&amp;LEFT(AX4,LEN(AX4)-1)&amp;"]"</f>
        <v>[1,240]</v>
      </c>
    </row>
    <row r="5" spans="1:51" s="17" customFormat="1" x14ac:dyDescent="0.2">
      <c r="A5" s="17">
        <v>1</v>
      </c>
      <c r="B5" s="34" t="s">
        <v>1025</v>
      </c>
      <c r="C5" s="34">
        <v>2</v>
      </c>
      <c r="D5" s="34" t="s">
        <v>1140</v>
      </c>
      <c r="E5" s="17" t="s">
        <v>1029</v>
      </c>
      <c r="F5" s="17">
        <v>3</v>
      </c>
      <c r="G5" s="17" t="s">
        <v>814</v>
      </c>
      <c r="H5" s="17" t="s">
        <v>824</v>
      </c>
      <c r="J5" s="17">
        <v>1</v>
      </c>
      <c r="K5" s="17">
        <v>1</v>
      </c>
      <c r="L5" s="17">
        <v>1</v>
      </c>
      <c r="M5" s="35">
        <f>(IF(G5="",挂机玩法规划!$L$2,VLOOKUP(G5,物品id!A:D,4,FALSE)*IF(J5=0,1,4))*IF(J5=0,1,J5)+IF(H5="",挂机玩法规划!$L$2,VLOOKUP(H5,物品id!A:D,4,FALSE)*IF(K5=0,1,4))*IF(K5=0,1,K5)+IF(I5="",挂机玩法规划!$L$2,VLOOKUP(I5,物品id!A:D,4,FALSE)*IF(L5=0,1,4))*IF(L5=0,1,L5))/O5</f>
        <v>1.125</v>
      </c>
      <c r="N5" s="44">
        <f>IF(G5="",挂机玩法规划!$L$2,VLOOKUP(G5,物品id!A:D,4,FALSE)*4)+IF(H5="",挂机玩法规划!$L$2,VLOOKUP(H5,物品id!A:D,4,FALSE)*4)+IF(I5="",挂机玩法规划!$L$2,VLOOKUP(I5,物品id!A:D,4,FALSE)*4)</f>
        <v>90</v>
      </c>
      <c r="O5" s="44">
        <v>80</v>
      </c>
      <c r="P5" s="17">
        <v>1</v>
      </c>
      <c r="Q5" s="17">
        <v>1</v>
      </c>
      <c r="R5" s="17" t="s">
        <v>1131</v>
      </c>
      <c r="S5" s="17">
        <v>240</v>
      </c>
      <c r="T5" s="17" t="s">
        <v>835</v>
      </c>
      <c r="U5" s="17">
        <v>240</v>
      </c>
      <c r="V5" s="17" t="s">
        <v>843</v>
      </c>
      <c r="W5" s="17" t="s">
        <v>200</v>
      </c>
      <c r="X5" s="17">
        <v>2</v>
      </c>
      <c r="Y5" s="17">
        <f>U5*挂机玩法规划!$O$4*VLOOKUP(E5,挂机玩法规划!$G$2:$I$17,3,FALSE)</f>
        <v>480</v>
      </c>
      <c r="Z5" s="17">
        <f t="shared" si="6"/>
        <v>2.25</v>
      </c>
      <c r="AA5" s="17">
        <f t="shared" si="7"/>
        <v>540</v>
      </c>
      <c r="AB5" s="17">
        <f>(VLOOKUP(V5,物品id!A:E,5,FALSE)*挂机玩法填表!Z5+VLOOKUP(挂机玩法填表!W5,物品id!A:E,5,FALSE)*挂机玩法填表!AA5)/(U5/60)</f>
        <v>14.219999999999999</v>
      </c>
      <c r="AD5" s="17" t="str">
        <f>IF(G5="","",VLOOKUP(G5,物品id!$A:$B,2,FALSE)&amp;",")</f>
        <v>2111,</v>
      </c>
      <c r="AE5" s="17" t="str">
        <f>IF(H5="","",VLOOKUP(H5,物品id!$A:$B,2,FALSE)&amp;",")</f>
        <v>3111,</v>
      </c>
      <c r="AF5" s="17" t="str">
        <f>IF(I5="","",VLOOKUP(I5,物品id!$A:$B,2,FALSE)&amp;",")</f>
        <v/>
      </c>
      <c r="AG5" s="17" t="str">
        <f t="shared" ref="AG5:AG11" si="10">AD5&amp;AE5&amp;AF5</f>
        <v>2111,3111,</v>
      </c>
      <c r="AH5" s="17" t="str">
        <f t="shared" ref="AH5:AH11" si="11">"["&amp;LEFT(AG5,LEN(AG5)-1)&amp;"]"</f>
        <v>[2111,3111]</v>
      </c>
      <c r="AI5" s="17" t="str">
        <f t="shared" si="0"/>
        <v>1,</v>
      </c>
      <c r="AJ5" s="17" t="str">
        <f t="shared" si="1"/>
        <v>1,</v>
      </c>
      <c r="AK5" s="17" t="str">
        <f t="shared" si="2"/>
        <v/>
      </c>
      <c r="AL5" s="17" t="str">
        <f t="shared" ref="AL5:AL11" si="12">AI5&amp;AJ5&amp;AK5</f>
        <v>1,1,</v>
      </c>
      <c r="AM5" s="17" t="str">
        <f t="shared" ref="AM5:AM11" si="13">"["&amp;LEFT(AL5,LEN(AL5)-1)&amp;"]"</f>
        <v>[1,1]</v>
      </c>
      <c r="AN5" s="17" t="str">
        <f>VLOOKUP(T5,物品id!$A:$B,2,FALSE)&amp;","</f>
        <v>102,</v>
      </c>
      <c r="AO5" s="17" t="str">
        <f t="shared" si="8"/>
        <v>[102]</v>
      </c>
      <c r="AP5" s="17" t="str">
        <f t="shared" si="3"/>
        <v>240,</v>
      </c>
      <c r="AQ5" s="17" t="str">
        <f t="shared" si="9"/>
        <v>[240]</v>
      </c>
      <c r="AR5" s="17" t="str">
        <f>IF(V5="","",VLOOKUP(V5,物品id!$A:$B,2,FALSE)&amp;",")</f>
        <v>20039,</v>
      </c>
      <c r="AS5" s="17" t="str">
        <f>IF(W5="","",VLOOKUP(W5,物品id!$A:$B,2,FALSE)&amp;",")</f>
        <v>102,</v>
      </c>
      <c r="AT5" s="17" t="str">
        <f t="shared" ref="AT5:AT11" si="14">AR5&amp;AS5</f>
        <v>20039,102,</v>
      </c>
      <c r="AU5" s="17" t="str">
        <f t="shared" ref="AU5:AU11" si="15">"["&amp;LEFT(AT5,LEN(AT5)-1)&amp;"]"</f>
        <v>[20039,102]</v>
      </c>
      <c r="AV5" s="17" t="str">
        <f t="shared" si="4"/>
        <v>2,</v>
      </c>
      <c r="AW5" s="17" t="str">
        <f t="shared" si="5"/>
        <v>480,</v>
      </c>
      <c r="AX5" s="17" t="str">
        <f t="shared" ref="AX5:AX11" si="16">AV5&amp;AW5</f>
        <v>2,480,</v>
      </c>
      <c r="AY5" s="17" t="str">
        <f t="shared" ref="AY5:AY11" si="17">"["&amp;LEFT(AX5,LEN(AX5)-1)&amp;"]"</f>
        <v>[2,480]</v>
      </c>
    </row>
    <row r="6" spans="1:51" s="17" customFormat="1" x14ac:dyDescent="0.2">
      <c r="A6" s="17">
        <v>1</v>
      </c>
      <c r="B6" s="34" t="s">
        <v>1025</v>
      </c>
      <c r="C6" s="34">
        <v>2</v>
      </c>
      <c r="D6" s="34" t="s">
        <v>1140</v>
      </c>
      <c r="E6" s="17" t="s">
        <v>1015</v>
      </c>
      <c r="F6" s="17">
        <v>3</v>
      </c>
      <c r="G6" s="17" t="s">
        <v>803</v>
      </c>
      <c r="H6" s="17" t="s">
        <v>824</v>
      </c>
      <c r="J6" s="17">
        <v>1</v>
      </c>
      <c r="K6" s="17">
        <v>1</v>
      </c>
      <c r="L6" s="17">
        <v>1</v>
      </c>
      <c r="M6" s="35">
        <f>(IF(G6="",挂机玩法规划!$L$2,VLOOKUP(G6,物品id!A:D,4,FALSE)*IF(J6=0,1,4))*IF(J6=0,1,J6)+IF(H6="",挂机玩法规划!$L$2,VLOOKUP(H6,物品id!A:D,4,FALSE)*IF(K6=0,1,4))*IF(K6=0,1,K6)+IF(I6="",挂机玩法规划!$L$2,VLOOKUP(I6,物品id!A:D,4,FALSE)*IF(L6=0,1,4))*IF(L6=0,1,L6))/O6</f>
        <v>1.125</v>
      </c>
      <c r="N6" s="44">
        <f>IF(G6="",挂机玩法规划!$L$2,VLOOKUP(G6,物品id!A:D,4,FALSE)*4)+IF(H6="",挂机玩法规划!$L$2,VLOOKUP(H6,物品id!A:D,4,FALSE)*4)+IF(I6="",挂机玩法规划!$L$2,VLOOKUP(I6,物品id!A:D,4,FALSE)*4)</f>
        <v>90</v>
      </c>
      <c r="O6" s="44">
        <v>80</v>
      </c>
      <c r="P6" s="17">
        <v>1</v>
      </c>
      <c r="Q6" s="17">
        <v>1</v>
      </c>
      <c r="R6" s="17" t="s">
        <v>1131</v>
      </c>
      <c r="S6" s="17">
        <v>240</v>
      </c>
      <c r="T6" s="17" t="s">
        <v>835</v>
      </c>
      <c r="U6" s="17">
        <v>240</v>
      </c>
      <c r="V6" s="17" t="s">
        <v>843</v>
      </c>
      <c r="W6" s="17" t="s">
        <v>200</v>
      </c>
      <c r="X6" s="17">
        <v>2</v>
      </c>
      <c r="Y6" s="17">
        <f>U6*挂机玩法规划!$O$4*VLOOKUP(E6,挂机玩法规划!$G$2:$I$17,3,FALSE)</f>
        <v>480</v>
      </c>
      <c r="Z6" s="17">
        <f t="shared" si="6"/>
        <v>2.25</v>
      </c>
      <c r="AA6" s="17">
        <f t="shared" si="7"/>
        <v>540</v>
      </c>
      <c r="AB6" s="17">
        <f>(VLOOKUP(V6,物品id!A:E,5,FALSE)*挂机玩法填表!Z6+VLOOKUP(挂机玩法填表!W6,物品id!A:E,5,FALSE)*挂机玩法填表!AA6)/(U6/60)</f>
        <v>14.219999999999999</v>
      </c>
      <c r="AD6" s="17" t="str">
        <f>IF(G6="","",VLOOKUP(G6,物品id!$A:$B,2,FALSE)&amp;",")</f>
        <v>1111,</v>
      </c>
      <c r="AE6" s="17" t="str">
        <f>IF(H6="","",VLOOKUP(H6,物品id!$A:$B,2,FALSE)&amp;",")</f>
        <v>3111,</v>
      </c>
      <c r="AF6" s="17" t="str">
        <f>IF(I6="","",VLOOKUP(I6,物品id!$A:$B,2,FALSE)&amp;",")</f>
        <v/>
      </c>
      <c r="AG6" s="17" t="str">
        <f t="shared" ref="AG6:AG7" si="18">AD6&amp;AE6&amp;AF6</f>
        <v>1111,3111,</v>
      </c>
      <c r="AH6" s="17" t="str">
        <f t="shared" ref="AH6:AH7" si="19">"["&amp;LEFT(AG6,LEN(AG6)-1)&amp;"]"</f>
        <v>[1111,3111]</v>
      </c>
      <c r="AI6" s="17" t="str">
        <f t="shared" si="0"/>
        <v>1,</v>
      </c>
      <c r="AJ6" s="17" t="str">
        <f t="shared" si="1"/>
        <v>1,</v>
      </c>
      <c r="AK6" s="17" t="str">
        <f t="shared" si="2"/>
        <v/>
      </c>
      <c r="AL6" s="17" t="str">
        <f t="shared" ref="AL6:AL7" si="20">AI6&amp;AJ6&amp;AK6</f>
        <v>1,1,</v>
      </c>
      <c r="AM6" s="17" t="str">
        <f t="shared" ref="AM6:AM7" si="21">"["&amp;LEFT(AL6,LEN(AL6)-1)&amp;"]"</f>
        <v>[1,1]</v>
      </c>
      <c r="AN6" s="17" t="str">
        <f>VLOOKUP(T6,物品id!$A:$B,2,FALSE)&amp;","</f>
        <v>102,</v>
      </c>
      <c r="AO6" s="17" t="str">
        <f t="shared" si="8"/>
        <v>[102]</v>
      </c>
      <c r="AP6" s="17" t="str">
        <f t="shared" si="3"/>
        <v>240,</v>
      </c>
      <c r="AQ6" s="17" t="str">
        <f t="shared" si="9"/>
        <v>[240]</v>
      </c>
      <c r="AR6" s="17" t="str">
        <f>IF(V6="","",VLOOKUP(V6,物品id!$A:$B,2,FALSE)&amp;",")</f>
        <v>20039,</v>
      </c>
      <c r="AS6" s="17" t="str">
        <f>IF(W6="","",VLOOKUP(W6,物品id!$A:$B,2,FALSE)&amp;",")</f>
        <v>102,</v>
      </c>
      <c r="AT6" s="17" t="str">
        <f t="shared" ref="AT6:AT7" si="22">AR6&amp;AS6</f>
        <v>20039,102,</v>
      </c>
      <c r="AU6" s="17" t="str">
        <f t="shared" ref="AU6:AU7" si="23">"["&amp;LEFT(AT6,LEN(AT6)-1)&amp;"]"</f>
        <v>[20039,102]</v>
      </c>
      <c r="AV6" s="17" t="str">
        <f t="shared" si="4"/>
        <v>2,</v>
      </c>
      <c r="AW6" s="17" t="str">
        <f t="shared" si="5"/>
        <v>480,</v>
      </c>
      <c r="AX6" s="17" t="str">
        <f t="shared" ref="AX6:AX7" si="24">AV6&amp;AW6</f>
        <v>2,480,</v>
      </c>
      <c r="AY6" s="17" t="str">
        <f t="shared" ref="AY6:AY7" si="25">"["&amp;LEFT(AX6,LEN(AX6)-1)&amp;"]"</f>
        <v>[2,480]</v>
      </c>
    </row>
    <row r="7" spans="1:51" s="17" customFormat="1" x14ac:dyDescent="0.2">
      <c r="A7" s="17">
        <v>1</v>
      </c>
      <c r="B7" s="34" t="s">
        <v>1025</v>
      </c>
      <c r="C7" s="34">
        <v>2</v>
      </c>
      <c r="D7" s="34" t="s">
        <v>1140</v>
      </c>
      <c r="E7" s="17" t="s">
        <v>1015</v>
      </c>
      <c r="F7" s="17">
        <v>3</v>
      </c>
      <c r="G7" s="17" t="s">
        <v>803</v>
      </c>
      <c r="H7" s="17" t="s">
        <v>814</v>
      </c>
      <c r="J7" s="17">
        <v>1</v>
      </c>
      <c r="K7" s="17">
        <v>1</v>
      </c>
      <c r="L7" s="17">
        <v>1</v>
      </c>
      <c r="M7" s="35">
        <f>(IF(G7="",挂机玩法规划!$L$2,VLOOKUP(G7,物品id!A:D,4,FALSE)*IF(J7=0,1,4))*IF(J7=0,1,J7)+IF(H7="",挂机玩法规划!$L$2,VLOOKUP(H7,物品id!A:D,4,FALSE)*IF(K7=0,1,4))*IF(K7=0,1,K7)+IF(I7="",挂机玩法规划!$L$2,VLOOKUP(I7,物品id!A:D,4,FALSE)*IF(L7=0,1,4))*IF(L7=0,1,L7))/O7</f>
        <v>1.125</v>
      </c>
      <c r="N7" s="44">
        <f>IF(G7="",挂机玩法规划!$L$2,VLOOKUP(G7,物品id!A:D,4,FALSE)*4)+IF(H7="",挂机玩法规划!$L$2,VLOOKUP(H7,物品id!A:D,4,FALSE)*4)+IF(I7="",挂机玩法规划!$L$2,VLOOKUP(I7,物品id!A:D,4,FALSE)*4)</f>
        <v>90</v>
      </c>
      <c r="O7" s="44">
        <v>80</v>
      </c>
      <c r="P7" s="17">
        <v>1</v>
      </c>
      <c r="Q7" s="17">
        <v>1</v>
      </c>
      <c r="R7" s="17" t="s">
        <v>1131</v>
      </c>
      <c r="S7" s="17">
        <v>240</v>
      </c>
      <c r="T7" s="17" t="s">
        <v>835</v>
      </c>
      <c r="U7" s="17">
        <v>240</v>
      </c>
      <c r="V7" s="17" t="s">
        <v>843</v>
      </c>
      <c r="W7" s="17" t="s">
        <v>200</v>
      </c>
      <c r="X7" s="17">
        <v>2</v>
      </c>
      <c r="Y7" s="17">
        <f>U7*挂机玩法规划!$O$4*VLOOKUP(E7,挂机玩法规划!$G$2:$I$17,3,FALSE)</f>
        <v>480</v>
      </c>
      <c r="Z7" s="17">
        <f t="shared" si="6"/>
        <v>2.25</v>
      </c>
      <c r="AA7" s="17">
        <f t="shared" si="7"/>
        <v>540</v>
      </c>
      <c r="AB7" s="17">
        <f>(VLOOKUP(V7,物品id!A:E,5,FALSE)*挂机玩法填表!Z7+VLOOKUP(挂机玩法填表!W7,物品id!A:E,5,FALSE)*挂机玩法填表!AA7)/(U7/60)</f>
        <v>14.219999999999999</v>
      </c>
      <c r="AD7" s="17" t="str">
        <f>IF(G7="","",VLOOKUP(G7,物品id!$A:$B,2,FALSE)&amp;",")</f>
        <v>1111,</v>
      </c>
      <c r="AE7" s="17" t="str">
        <f>IF(H7="","",VLOOKUP(H7,物品id!$A:$B,2,FALSE)&amp;",")</f>
        <v>2111,</v>
      </c>
      <c r="AF7" s="17" t="str">
        <f>IF(I7="","",VLOOKUP(I7,物品id!$A:$B,2,FALSE)&amp;",")</f>
        <v/>
      </c>
      <c r="AG7" s="17" t="str">
        <f t="shared" si="18"/>
        <v>1111,2111,</v>
      </c>
      <c r="AH7" s="17" t="str">
        <f t="shared" si="19"/>
        <v>[1111,2111]</v>
      </c>
      <c r="AI7" s="17" t="str">
        <f t="shared" si="0"/>
        <v>1,</v>
      </c>
      <c r="AJ7" s="17" t="str">
        <f t="shared" si="1"/>
        <v>1,</v>
      </c>
      <c r="AK7" s="17" t="str">
        <f t="shared" si="2"/>
        <v/>
      </c>
      <c r="AL7" s="17" t="str">
        <f t="shared" si="20"/>
        <v>1,1,</v>
      </c>
      <c r="AM7" s="17" t="str">
        <f t="shared" si="21"/>
        <v>[1,1]</v>
      </c>
      <c r="AN7" s="17" t="str">
        <f>VLOOKUP(T7,物品id!$A:$B,2,FALSE)&amp;","</f>
        <v>102,</v>
      </c>
      <c r="AO7" s="17" t="str">
        <f t="shared" si="8"/>
        <v>[102]</v>
      </c>
      <c r="AP7" s="17" t="str">
        <f t="shared" si="3"/>
        <v>240,</v>
      </c>
      <c r="AQ7" s="17" t="str">
        <f t="shared" si="9"/>
        <v>[240]</v>
      </c>
      <c r="AR7" s="17" t="str">
        <f>IF(V7="","",VLOOKUP(V7,物品id!$A:$B,2,FALSE)&amp;",")</f>
        <v>20039,</v>
      </c>
      <c r="AS7" s="17" t="str">
        <f>IF(W7="","",VLOOKUP(W7,物品id!$A:$B,2,FALSE)&amp;",")</f>
        <v>102,</v>
      </c>
      <c r="AT7" s="17" t="str">
        <f t="shared" si="22"/>
        <v>20039,102,</v>
      </c>
      <c r="AU7" s="17" t="str">
        <f t="shared" si="23"/>
        <v>[20039,102]</v>
      </c>
      <c r="AV7" s="17" t="str">
        <f t="shared" si="4"/>
        <v>2,</v>
      </c>
      <c r="AW7" s="17" t="str">
        <f t="shared" si="5"/>
        <v>480,</v>
      </c>
      <c r="AX7" s="17" t="str">
        <f t="shared" si="24"/>
        <v>2,480,</v>
      </c>
      <c r="AY7" s="17" t="str">
        <f t="shared" si="25"/>
        <v>[2,480]</v>
      </c>
    </row>
    <row r="8" spans="1:51" s="17" customFormat="1" x14ac:dyDescent="0.2">
      <c r="A8" s="17">
        <v>1</v>
      </c>
      <c r="B8" s="34" t="s">
        <v>1025</v>
      </c>
      <c r="C8" s="34">
        <v>3</v>
      </c>
      <c r="D8" s="34" t="s">
        <v>1141</v>
      </c>
      <c r="E8" s="17" t="s">
        <v>1029</v>
      </c>
      <c r="F8" s="17">
        <v>3</v>
      </c>
      <c r="G8" s="17" t="s">
        <v>814</v>
      </c>
      <c r="H8" s="17" t="s">
        <v>824</v>
      </c>
      <c r="J8" s="17">
        <v>1</v>
      </c>
      <c r="K8" s="17">
        <v>1</v>
      </c>
      <c r="L8" s="17">
        <v>1</v>
      </c>
      <c r="M8" s="35">
        <f>(IF(G8="",挂机玩法规划!$L$2,VLOOKUP(G8,物品id!A:D,4,FALSE)*IF(J8=0,1,4))*IF(J8=0,1,J8)+IF(H8="",挂机玩法规划!$L$2,VLOOKUP(H8,物品id!A:D,4,FALSE)*IF(K8=0,1,4))*IF(K8=0,1,K8)+IF(I8="",挂机玩法规划!$L$2,VLOOKUP(I8,物品id!A:D,4,FALSE)*IF(L8=0,1,4))*IF(L8=0,1,L8))/O8</f>
        <v>1.125</v>
      </c>
      <c r="N8" s="44">
        <f>IF(G8="",挂机玩法规划!$L$2,VLOOKUP(G8,物品id!A:D,4,FALSE)*4)+IF(H8="",挂机玩法规划!$L$2,VLOOKUP(H8,物品id!A:D,4,FALSE)*4)+IF(I8="",挂机玩法规划!$L$2,VLOOKUP(I8,物品id!A:D,4,FALSE)*4)</f>
        <v>90</v>
      </c>
      <c r="O8" s="44">
        <v>80</v>
      </c>
      <c r="P8" s="17">
        <v>1</v>
      </c>
      <c r="Q8" s="17">
        <v>1</v>
      </c>
      <c r="R8" s="17" t="s">
        <v>1131</v>
      </c>
      <c r="S8" s="17">
        <v>480</v>
      </c>
      <c r="T8" s="17" t="s">
        <v>835</v>
      </c>
      <c r="U8" s="17">
        <v>480</v>
      </c>
      <c r="V8" s="17" t="s">
        <v>1044</v>
      </c>
      <c r="W8" s="17" t="s">
        <v>200</v>
      </c>
      <c r="X8" s="17">
        <v>1</v>
      </c>
      <c r="Y8" s="17">
        <f>U8*挂机玩法规划!$O$4*VLOOKUP(E8,挂机玩法规划!$G$2:$I$17,3,FALSE)</f>
        <v>960</v>
      </c>
      <c r="Z8" s="17">
        <f t="shared" si="6"/>
        <v>1.125</v>
      </c>
      <c r="AA8" s="17">
        <f t="shared" si="7"/>
        <v>1080</v>
      </c>
      <c r="AB8" s="17">
        <f>(VLOOKUP(V8,物品id!A:E,5,FALSE)*挂机玩法填表!Z8+VLOOKUP(挂机玩法填表!W8,物品id!A:E,5,FALSE)*挂机玩法填表!AA8)/(U8/60)</f>
        <v>10.001249999999999</v>
      </c>
      <c r="AD8" s="17" t="str">
        <f>IF(G8="","",VLOOKUP(G8,物品id!$A:$B,2,FALSE)&amp;",")</f>
        <v>2111,</v>
      </c>
      <c r="AE8" s="17" t="str">
        <f>IF(H8="","",VLOOKUP(H8,物品id!$A:$B,2,FALSE)&amp;",")</f>
        <v>3111,</v>
      </c>
      <c r="AF8" s="17" t="str">
        <f>IF(I8="","",VLOOKUP(I8,物品id!$A:$B,2,FALSE)&amp;",")</f>
        <v/>
      </c>
      <c r="AG8" s="17" t="str">
        <f t="shared" si="10"/>
        <v>2111,3111,</v>
      </c>
      <c r="AH8" s="17" t="str">
        <f t="shared" si="11"/>
        <v>[2111,3111]</v>
      </c>
      <c r="AI8" s="17" t="str">
        <f t="shared" si="0"/>
        <v>1,</v>
      </c>
      <c r="AJ8" s="17" t="str">
        <f t="shared" si="1"/>
        <v>1,</v>
      </c>
      <c r="AK8" s="17" t="str">
        <f t="shared" si="2"/>
        <v/>
      </c>
      <c r="AL8" s="17" t="str">
        <f t="shared" si="12"/>
        <v>1,1,</v>
      </c>
      <c r="AM8" s="17" t="str">
        <f t="shared" si="13"/>
        <v>[1,1]</v>
      </c>
      <c r="AN8" s="17" t="str">
        <f>VLOOKUP(T8,物品id!$A:$B,2,FALSE)&amp;","</f>
        <v>102,</v>
      </c>
      <c r="AO8" s="17" t="str">
        <f t="shared" si="8"/>
        <v>[102]</v>
      </c>
      <c r="AP8" s="17" t="str">
        <f t="shared" si="3"/>
        <v>480,</v>
      </c>
      <c r="AQ8" s="17" t="str">
        <f t="shared" si="9"/>
        <v>[480]</v>
      </c>
      <c r="AR8" s="17" t="str">
        <f>IF(V8="","",VLOOKUP(V8,物品id!$A:$B,2,FALSE)&amp;",")</f>
        <v>20038,</v>
      </c>
      <c r="AS8" s="17" t="str">
        <f>IF(W8="","",VLOOKUP(W8,物品id!$A:$B,2,FALSE)&amp;",")</f>
        <v>102,</v>
      </c>
      <c r="AT8" s="17" t="str">
        <f t="shared" si="14"/>
        <v>20038,102,</v>
      </c>
      <c r="AU8" s="17" t="str">
        <f t="shared" si="15"/>
        <v>[20038,102]</v>
      </c>
      <c r="AV8" s="17" t="str">
        <f t="shared" si="4"/>
        <v>1,</v>
      </c>
      <c r="AW8" s="17" t="str">
        <f t="shared" si="5"/>
        <v>960,</v>
      </c>
      <c r="AX8" s="17" t="str">
        <f t="shared" si="16"/>
        <v>1,960,</v>
      </c>
      <c r="AY8" s="17" t="str">
        <f t="shared" si="17"/>
        <v>[1,960]</v>
      </c>
    </row>
    <row r="9" spans="1:51" s="17" customFormat="1" x14ac:dyDescent="0.2">
      <c r="A9" s="17">
        <v>1</v>
      </c>
      <c r="B9" s="34" t="s">
        <v>1025</v>
      </c>
      <c r="C9" s="34">
        <v>3</v>
      </c>
      <c r="D9" s="34" t="s">
        <v>1141</v>
      </c>
      <c r="E9" s="17" t="s">
        <v>1015</v>
      </c>
      <c r="F9" s="17">
        <v>3</v>
      </c>
      <c r="G9" s="17" t="s">
        <v>803</v>
      </c>
      <c r="H9" s="17" t="s">
        <v>824</v>
      </c>
      <c r="J9" s="17">
        <v>1</v>
      </c>
      <c r="K9" s="17">
        <v>1</v>
      </c>
      <c r="L9" s="17">
        <v>1</v>
      </c>
      <c r="M9" s="35">
        <f>(IF(G9="",挂机玩法规划!$L$2,VLOOKUP(G9,物品id!A:D,4,FALSE)*IF(J9=0,1,4))*IF(J9=0,1,J9)+IF(H9="",挂机玩法规划!$L$2,VLOOKUP(H9,物品id!A:D,4,FALSE)*IF(K9=0,1,4))*IF(K9=0,1,K9)+IF(I9="",挂机玩法规划!$L$2,VLOOKUP(I9,物品id!A:D,4,FALSE)*IF(L9=0,1,4))*IF(L9=0,1,L9))/O9</f>
        <v>1.125</v>
      </c>
      <c r="N9" s="44">
        <f>IF(G9="",挂机玩法规划!$L$2,VLOOKUP(G9,物品id!A:D,4,FALSE)*4)+IF(H9="",挂机玩法规划!$L$2,VLOOKUP(H9,物品id!A:D,4,FALSE)*4)+IF(I9="",挂机玩法规划!$L$2,VLOOKUP(I9,物品id!A:D,4,FALSE)*4)</f>
        <v>90</v>
      </c>
      <c r="O9" s="44">
        <v>80</v>
      </c>
      <c r="P9" s="17">
        <v>1</v>
      </c>
      <c r="Q9" s="17">
        <v>1</v>
      </c>
      <c r="R9" s="17" t="s">
        <v>1131</v>
      </c>
      <c r="S9" s="17">
        <v>480</v>
      </c>
      <c r="T9" s="17" t="s">
        <v>835</v>
      </c>
      <c r="U9" s="17">
        <v>480</v>
      </c>
      <c r="V9" s="17" t="s">
        <v>1044</v>
      </c>
      <c r="W9" s="17" t="s">
        <v>200</v>
      </c>
      <c r="X9" s="17">
        <v>1</v>
      </c>
      <c r="Y9" s="17">
        <f>U9*挂机玩法规划!$O$4*VLOOKUP(E9,挂机玩法规划!$G$2:$I$17,3,FALSE)</f>
        <v>960</v>
      </c>
      <c r="Z9" s="17">
        <f t="shared" si="6"/>
        <v>1.125</v>
      </c>
      <c r="AA9" s="17">
        <f t="shared" si="7"/>
        <v>1080</v>
      </c>
      <c r="AB9" s="17">
        <f>(VLOOKUP(V9,物品id!A:E,5,FALSE)*挂机玩法填表!Z9+VLOOKUP(挂机玩法填表!W9,物品id!A:E,5,FALSE)*挂机玩法填表!AA9)/(U9/60)</f>
        <v>10.001249999999999</v>
      </c>
      <c r="AD9" s="17" t="str">
        <f>IF(G9="","",VLOOKUP(G9,物品id!$A:$B,2,FALSE)&amp;",")</f>
        <v>1111,</v>
      </c>
      <c r="AE9" s="17" t="str">
        <f>IF(H9="","",VLOOKUP(H9,物品id!$A:$B,2,FALSE)&amp;",")</f>
        <v>3111,</v>
      </c>
      <c r="AF9" s="17" t="str">
        <f>IF(I9="","",VLOOKUP(I9,物品id!$A:$B,2,FALSE)&amp;",")</f>
        <v/>
      </c>
      <c r="AG9" s="17" t="str">
        <f t="shared" ref="AG9:AG10" si="26">AD9&amp;AE9&amp;AF9</f>
        <v>1111,3111,</v>
      </c>
      <c r="AH9" s="17" t="str">
        <f t="shared" ref="AH9:AH10" si="27">"["&amp;LEFT(AG9,LEN(AG9)-1)&amp;"]"</f>
        <v>[1111,3111]</v>
      </c>
      <c r="AI9" s="17" t="str">
        <f t="shared" si="0"/>
        <v>1,</v>
      </c>
      <c r="AJ9" s="17" t="str">
        <f t="shared" si="1"/>
        <v>1,</v>
      </c>
      <c r="AK9" s="17" t="str">
        <f t="shared" si="2"/>
        <v/>
      </c>
      <c r="AL9" s="17" t="str">
        <f t="shared" ref="AL9:AL10" si="28">AI9&amp;AJ9&amp;AK9</f>
        <v>1,1,</v>
      </c>
      <c r="AM9" s="17" t="str">
        <f t="shared" ref="AM9:AM10" si="29">"["&amp;LEFT(AL9,LEN(AL9)-1)&amp;"]"</f>
        <v>[1,1]</v>
      </c>
      <c r="AN9" s="17" t="str">
        <f>VLOOKUP(T9,物品id!$A:$B,2,FALSE)&amp;","</f>
        <v>102,</v>
      </c>
      <c r="AO9" s="17" t="str">
        <f t="shared" si="8"/>
        <v>[102]</v>
      </c>
      <c r="AP9" s="17" t="str">
        <f t="shared" si="3"/>
        <v>480,</v>
      </c>
      <c r="AQ9" s="17" t="str">
        <f t="shared" si="9"/>
        <v>[480]</v>
      </c>
      <c r="AR9" s="17" t="str">
        <f>IF(V9="","",VLOOKUP(V9,物品id!$A:$B,2,FALSE)&amp;",")</f>
        <v>20038,</v>
      </c>
      <c r="AS9" s="17" t="str">
        <f>IF(W9="","",VLOOKUP(W9,物品id!$A:$B,2,FALSE)&amp;",")</f>
        <v>102,</v>
      </c>
      <c r="AT9" s="17" t="str">
        <f t="shared" ref="AT9:AT10" si="30">AR9&amp;AS9</f>
        <v>20038,102,</v>
      </c>
      <c r="AU9" s="17" t="str">
        <f t="shared" ref="AU9:AU10" si="31">"["&amp;LEFT(AT9,LEN(AT9)-1)&amp;"]"</f>
        <v>[20038,102]</v>
      </c>
      <c r="AV9" s="17" t="str">
        <f t="shared" si="4"/>
        <v>1,</v>
      </c>
      <c r="AW9" s="17" t="str">
        <f t="shared" si="5"/>
        <v>960,</v>
      </c>
      <c r="AX9" s="17" t="str">
        <f t="shared" ref="AX9:AX10" si="32">AV9&amp;AW9</f>
        <v>1,960,</v>
      </c>
      <c r="AY9" s="17" t="str">
        <f t="shared" ref="AY9:AY10" si="33">"["&amp;LEFT(AX9,LEN(AX9)-1)&amp;"]"</f>
        <v>[1,960]</v>
      </c>
    </row>
    <row r="10" spans="1:51" s="17" customFormat="1" x14ac:dyDescent="0.2">
      <c r="A10" s="17">
        <v>1</v>
      </c>
      <c r="B10" s="34" t="s">
        <v>1025</v>
      </c>
      <c r="C10" s="34">
        <v>3</v>
      </c>
      <c r="D10" s="34" t="s">
        <v>1141</v>
      </c>
      <c r="E10" s="17" t="s">
        <v>1015</v>
      </c>
      <c r="F10" s="17">
        <v>3</v>
      </c>
      <c r="G10" s="17" t="s">
        <v>803</v>
      </c>
      <c r="H10" s="17" t="s">
        <v>814</v>
      </c>
      <c r="J10" s="17">
        <v>1</v>
      </c>
      <c r="K10" s="17">
        <v>1</v>
      </c>
      <c r="L10" s="17">
        <v>1</v>
      </c>
      <c r="M10" s="35">
        <f>(IF(G10="",挂机玩法规划!$L$2,VLOOKUP(G10,物品id!A:D,4,FALSE)*IF(J10=0,1,4))*IF(J10=0,1,J10)+IF(H10="",挂机玩法规划!$L$2,VLOOKUP(H10,物品id!A:D,4,FALSE)*IF(K10=0,1,4))*IF(K10=0,1,K10)+IF(I10="",挂机玩法规划!$L$2,VLOOKUP(I10,物品id!A:D,4,FALSE)*IF(L10=0,1,4))*IF(L10=0,1,L10))/O10</f>
        <v>1.125</v>
      </c>
      <c r="N10" s="44">
        <f>IF(G10="",挂机玩法规划!$L$2,VLOOKUP(G10,物品id!A:D,4,FALSE)*4)+IF(H10="",挂机玩法规划!$L$2,VLOOKUP(H10,物品id!A:D,4,FALSE)*4)+IF(I10="",挂机玩法规划!$L$2,VLOOKUP(I10,物品id!A:D,4,FALSE)*4)</f>
        <v>90</v>
      </c>
      <c r="O10" s="44">
        <v>80</v>
      </c>
      <c r="P10" s="17">
        <v>1</v>
      </c>
      <c r="Q10" s="17">
        <v>1</v>
      </c>
      <c r="R10" s="17" t="s">
        <v>1131</v>
      </c>
      <c r="S10" s="17">
        <v>480</v>
      </c>
      <c r="T10" s="17" t="s">
        <v>835</v>
      </c>
      <c r="U10" s="17">
        <v>480</v>
      </c>
      <c r="V10" s="17" t="s">
        <v>1044</v>
      </c>
      <c r="W10" s="17" t="s">
        <v>200</v>
      </c>
      <c r="X10" s="17">
        <v>1</v>
      </c>
      <c r="Y10" s="17">
        <f>U10*挂机玩法规划!$O$4*VLOOKUP(E10,挂机玩法规划!$G$2:$I$17,3,FALSE)</f>
        <v>960</v>
      </c>
      <c r="Z10" s="17">
        <f t="shared" si="6"/>
        <v>1.125</v>
      </c>
      <c r="AA10" s="17">
        <f t="shared" si="7"/>
        <v>1080</v>
      </c>
      <c r="AB10" s="17">
        <f>(VLOOKUP(V10,物品id!A:E,5,FALSE)*挂机玩法填表!Z10+VLOOKUP(挂机玩法填表!W10,物品id!A:E,5,FALSE)*挂机玩法填表!AA10)/(U10/60)</f>
        <v>10.001249999999999</v>
      </c>
      <c r="AD10" s="17" t="str">
        <f>IF(G10="","",VLOOKUP(G10,物品id!$A:$B,2,FALSE)&amp;",")</f>
        <v>1111,</v>
      </c>
      <c r="AE10" s="17" t="str">
        <f>IF(H10="","",VLOOKUP(H10,物品id!$A:$B,2,FALSE)&amp;",")</f>
        <v>2111,</v>
      </c>
      <c r="AF10" s="17" t="str">
        <f>IF(I10="","",VLOOKUP(I10,物品id!$A:$B,2,FALSE)&amp;",")</f>
        <v/>
      </c>
      <c r="AG10" s="17" t="str">
        <f t="shared" si="26"/>
        <v>1111,2111,</v>
      </c>
      <c r="AH10" s="17" t="str">
        <f t="shared" si="27"/>
        <v>[1111,2111]</v>
      </c>
      <c r="AI10" s="17" t="str">
        <f t="shared" si="0"/>
        <v>1,</v>
      </c>
      <c r="AJ10" s="17" t="str">
        <f t="shared" si="1"/>
        <v>1,</v>
      </c>
      <c r="AK10" s="17" t="str">
        <f t="shared" si="2"/>
        <v/>
      </c>
      <c r="AL10" s="17" t="str">
        <f t="shared" si="28"/>
        <v>1,1,</v>
      </c>
      <c r="AM10" s="17" t="str">
        <f t="shared" si="29"/>
        <v>[1,1]</v>
      </c>
      <c r="AN10" s="17" t="str">
        <f>VLOOKUP(T10,物品id!$A:$B,2,FALSE)&amp;","</f>
        <v>102,</v>
      </c>
      <c r="AO10" s="17" t="str">
        <f t="shared" si="8"/>
        <v>[102]</v>
      </c>
      <c r="AP10" s="17" t="str">
        <f t="shared" si="3"/>
        <v>480,</v>
      </c>
      <c r="AQ10" s="17" t="str">
        <f t="shared" si="9"/>
        <v>[480]</v>
      </c>
      <c r="AR10" s="17" t="str">
        <f>IF(V10="","",VLOOKUP(V10,物品id!$A:$B,2,FALSE)&amp;",")</f>
        <v>20038,</v>
      </c>
      <c r="AS10" s="17" t="str">
        <f>IF(W10="","",VLOOKUP(W10,物品id!$A:$B,2,FALSE)&amp;",")</f>
        <v>102,</v>
      </c>
      <c r="AT10" s="17" t="str">
        <f t="shared" si="30"/>
        <v>20038,102,</v>
      </c>
      <c r="AU10" s="17" t="str">
        <f t="shared" si="31"/>
        <v>[20038,102]</v>
      </c>
      <c r="AV10" s="17" t="str">
        <f t="shared" si="4"/>
        <v>1,</v>
      </c>
      <c r="AW10" s="17" t="str">
        <f t="shared" si="5"/>
        <v>960,</v>
      </c>
      <c r="AX10" s="17" t="str">
        <f t="shared" si="32"/>
        <v>1,960,</v>
      </c>
      <c r="AY10" s="17" t="str">
        <f t="shared" si="33"/>
        <v>[1,960]</v>
      </c>
    </row>
    <row r="11" spans="1:51" s="17" customFormat="1" x14ac:dyDescent="0.2">
      <c r="A11" s="17">
        <v>1</v>
      </c>
      <c r="B11" s="34" t="s">
        <v>1025</v>
      </c>
      <c r="C11" s="34">
        <v>4</v>
      </c>
      <c r="D11" s="34" t="s">
        <v>1142</v>
      </c>
      <c r="E11" s="17" t="s">
        <v>1029</v>
      </c>
      <c r="F11" s="17">
        <v>3</v>
      </c>
      <c r="G11" s="17" t="s">
        <v>814</v>
      </c>
      <c r="H11" s="17" t="s">
        <v>824</v>
      </c>
      <c r="J11" s="17">
        <v>1</v>
      </c>
      <c r="K11" s="17">
        <v>1</v>
      </c>
      <c r="L11" s="17">
        <v>1</v>
      </c>
      <c r="M11" s="35">
        <f>(IF(G11="",挂机玩法规划!$L$2,VLOOKUP(G11,物品id!A:D,4,FALSE)*IF(J11=0,1,4))*IF(J11=0,1,J11)+IF(H11="",挂机玩法规划!$L$2,VLOOKUP(H11,物品id!A:D,4,FALSE)*IF(K11=0,1,4))*IF(K11=0,1,K11)+IF(I11="",挂机玩法规划!$L$2,VLOOKUP(I11,物品id!A:D,4,FALSE)*IF(L11=0,1,4))*IF(L11=0,1,L11))/O11</f>
        <v>1.125</v>
      </c>
      <c r="N11" s="44">
        <f>IF(G11="",挂机玩法规划!$L$2,VLOOKUP(G11,物品id!A:D,4,FALSE)*4)+IF(H11="",挂机玩法规划!$L$2,VLOOKUP(H11,物品id!A:D,4,FALSE)*4)+IF(I11="",挂机玩法规划!$L$2,VLOOKUP(I11,物品id!A:D,4,FALSE)*4)</f>
        <v>90</v>
      </c>
      <c r="O11" s="44">
        <v>80</v>
      </c>
      <c r="P11" s="17">
        <v>1</v>
      </c>
      <c r="Q11" s="17">
        <v>1</v>
      </c>
      <c r="R11" s="17" t="s">
        <v>1131</v>
      </c>
      <c r="S11" s="17">
        <v>720</v>
      </c>
      <c r="T11" s="17" t="s">
        <v>835</v>
      </c>
      <c r="U11" s="17">
        <v>720</v>
      </c>
      <c r="V11" s="17" t="s">
        <v>1044</v>
      </c>
      <c r="W11" s="17" t="s">
        <v>200</v>
      </c>
      <c r="X11" s="17">
        <v>2</v>
      </c>
      <c r="Y11" s="17">
        <f>U11*挂机玩法规划!$O$4*VLOOKUP(E11,挂机玩法规划!$G$2:$I$17,3,FALSE)</f>
        <v>1440</v>
      </c>
      <c r="Z11" s="17">
        <f t="shared" si="6"/>
        <v>2.25</v>
      </c>
      <c r="AA11" s="17">
        <f t="shared" si="7"/>
        <v>1620</v>
      </c>
      <c r="AB11" s="17">
        <f>(VLOOKUP(V11,物品id!A:E,5,FALSE)*挂机玩法填表!Z11+VLOOKUP(挂机玩法填表!W11,物品id!A:E,5,FALSE)*挂机玩法填表!AA11)/(U11/60)</f>
        <v>12.344999999999999</v>
      </c>
      <c r="AD11" s="17" t="str">
        <f>IF(G11="","",VLOOKUP(G11,物品id!$A:$B,2,FALSE)&amp;",")</f>
        <v>2111,</v>
      </c>
      <c r="AE11" s="17" t="str">
        <f>IF(H11="","",VLOOKUP(H11,物品id!$A:$B,2,FALSE)&amp;",")</f>
        <v>3111,</v>
      </c>
      <c r="AF11" s="17" t="str">
        <f>IF(I11="","",VLOOKUP(I11,物品id!$A:$B,2,FALSE)&amp;",")</f>
        <v/>
      </c>
      <c r="AG11" s="17" t="str">
        <f t="shared" si="10"/>
        <v>2111,3111,</v>
      </c>
      <c r="AH11" s="17" t="str">
        <f t="shared" si="11"/>
        <v>[2111,3111]</v>
      </c>
      <c r="AI11" s="17" t="str">
        <f t="shared" si="0"/>
        <v>1,</v>
      </c>
      <c r="AJ11" s="17" t="str">
        <f t="shared" si="1"/>
        <v>1,</v>
      </c>
      <c r="AK11" s="17" t="str">
        <f t="shared" si="2"/>
        <v/>
      </c>
      <c r="AL11" s="17" t="str">
        <f t="shared" si="12"/>
        <v>1,1,</v>
      </c>
      <c r="AM11" s="17" t="str">
        <f t="shared" si="13"/>
        <v>[1,1]</v>
      </c>
      <c r="AN11" s="17" t="str">
        <f>VLOOKUP(T11,物品id!$A:$B,2,FALSE)&amp;","</f>
        <v>102,</v>
      </c>
      <c r="AO11" s="17" t="str">
        <f t="shared" si="8"/>
        <v>[102]</v>
      </c>
      <c r="AP11" s="17" t="str">
        <f t="shared" si="3"/>
        <v>720,</v>
      </c>
      <c r="AQ11" s="17" t="str">
        <f t="shared" si="9"/>
        <v>[720]</v>
      </c>
      <c r="AR11" s="17" t="str">
        <f>IF(V11="","",VLOOKUP(V11,物品id!$A:$B,2,FALSE)&amp;",")</f>
        <v>20038,</v>
      </c>
      <c r="AS11" s="17" t="str">
        <f>IF(W11="","",VLOOKUP(W11,物品id!$A:$B,2,FALSE)&amp;",")</f>
        <v>102,</v>
      </c>
      <c r="AT11" s="17" t="str">
        <f t="shared" si="14"/>
        <v>20038,102,</v>
      </c>
      <c r="AU11" s="17" t="str">
        <f t="shared" si="15"/>
        <v>[20038,102]</v>
      </c>
      <c r="AV11" s="17" t="str">
        <f t="shared" si="4"/>
        <v>2,</v>
      </c>
      <c r="AW11" s="17" t="str">
        <f t="shared" si="5"/>
        <v>1440,</v>
      </c>
      <c r="AX11" s="17" t="str">
        <f t="shared" si="16"/>
        <v>2,1440,</v>
      </c>
      <c r="AY11" s="17" t="str">
        <f t="shared" si="17"/>
        <v>[2,1440]</v>
      </c>
    </row>
    <row r="12" spans="1:51" s="17" customFormat="1" x14ac:dyDescent="0.2">
      <c r="A12" s="17">
        <v>1</v>
      </c>
      <c r="B12" s="34" t="s">
        <v>1025</v>
      </c>
      <c r="C12" s="34">
        <v>4</v>
      </c>
      <c r="D12" s="34" t="s">
        <v>1142</v>
      </c>
      <c r="E12" s="17" t="s">
        <v>1015</v>
      </c>
      <c r="F12" s="17">
        <v>3</v>
      </c>
      <c r="G12" s="17" t="s">
        <v>803</v>
      </c>
      <c r="H12" s="17" t="s">
        <v>824</v>
      </c>
      <c r="J12" s="17">
        <v>1</v>
      </c>
      <c r="K12" s="17">
        <v>1</v>
      </c>
      <c r="L12" s="17">
        <v>1</v>
      </c>
      <c r="M12" s="35">
        <f>(IF(G12="",挂机玩法规划!$L$2,VLOOKUP(G12,物品id!A:D,4,FALSE)*IF(J12=0,1,4))*IF(J12=0,1,J12)+IF(H12="",挂机玩法规划!$L$2,VLOOKUP(H12,物品id!A:D,4,FALSE)*IF(K12=0,1,4))*IF(K12=0,1,K12)+IF(I12="",挂机玩法规划!$L$2,VLOOKUP(I12,物品id!A:D,4,FALSE)*IF(L12=0,1,4))*IF(L12=0,1,L12))/O12</f>
        <v>1.125</v>
      </c>
      <c r="N12" s="44">
        <f>IF(G12="",挂机玩法规划!$L$2,VLOOKUP(G12,物品id!A:D,4,FALSE)*4)+IF(H12="",挂机玩法规划!$L$2,VLOOKUP(H12,物品id!A:D,4,FALSE)*4)+IF(I12="",挂机玩法规划!$L$2,VLOOKUP(I12,物品id!A:D,4,FALSE)*4)</f>
        <v>90</v>
      </c>
      <c r="O12" s="44">
        <v>80</v>
      </c>
      <c r="P12" s="17">
        <v>1</v>
      </c>
      <c r="Q12" s="17">
        <v>1</v>
      </c>
      <c r="R12" s="17" t="s">
        <v>1131</v>
      </c>
      <c r="S12" s="17">
        <v>720</v>
      </c>
      <c r="T12" s="17" t="s">
        <v>835</v>
      </c>
      <c r="U12" s="17">
        <v>720</v>
      </c>
      <c r="V12" s="17" t="s">
        <v>1044</v>
      </c>
      <c r="W12" s="17" t="s">
        <v>200</v>
      </c>
      <c r="X12" s="17">
        <v>2</v>
      </c>
      <c r="Y12" s="17">
        <f>U12*挂机玩法规划!$O$4*VLOOKUP(E12,挂机玩法规划!$G$2:$I$17,3,FALSE)</f>
        <v>1440</v>
      </c>
      <c r="Z12" s="17">
        <f t="shared" si="6"/>
        <v>2.25</v>
      </c>
      <c r="AA12" s="17">
        <f t="shared" si="7"/>
        <v>1620</v>
      </c>
      <c r="AB12" s="17">
        <f>(VLOOKUP(V12,物品id!A:E,5,FALSE)*挂机玩法填表!Z12+VLOOKUP(挂机玩法填表!W12,物品id!A:E,5,FALSE)*挂机玩法填表!AA12)/(U12/60)</f>
        <v>12.344999999999999</v>
      </c>
      <c r="AD12" s="17" t="str">
        <f>IF(G12="","",VLOOKUP(G12,物品id!$A:$B,2,FALSE)&amp;",")</f>
        <v>1111,</v>
      </c>
      <c r="AE12" s="17" t="str">
        <f>IF(H12="","",VLOOKUP(H12,物品id!$A:$B,2,FALSE)&amp;",")</f>
        <v>3111,</v>
      </c>
      <c r="AF12" s="17" t="str">
        <f>IF(I12="","",VLOOKUP(I12,物品id!$A:$B,2,FALSE)&amp;",")</f>
        <v/>
      </c>
      <c r="AG12" s="17" t="str">
        <f t="shared" ref="AG12:AG13" si="34">AD12&amp;AE12&amp;AF12</f>
        <v>1111,3111,</v>
      </c>
      <c r="AH12" s="17" t="str">
        <f t="shared" ref="AH12:AH13" si="35">"["&amp;LEFT(AG12,LEN(AG12)-1)&amp;"]"</f>
        <v>[1111,3111]</v>
      </c>
      <c r="AI12" s="17" t="str">
        <f t="shared" si="0"/>
        <v>1,</v>
      </c>
      <c r="AJ12" s="17" t="str">
        <f t="shared" si="1"/>
        <v>1,</v>
      </c>
      <c r="AK12" s="17" t="str">
        <f t="shared" si="2"/>
        <v/>
      </c>
      <c r="AL12" s="17" t="str">
        <f t="shared" ref="AL12:AL13" si="36">AI12&amp;AJ12&amp;AK12</f>
        <v>1,1,</v>
      </c>
      <c r="AM12" s="17" t="str">
        <f t="shared" ref="AM12:AM13" si="37">"["&amp;LEFT(AL12,LEN(AL12)-1)&amp;"]"</f>
        <v>[1,1]</v>
      </c>
      <c r="AN12" s="17" t="str">
        <f>VLOOKUP(T12,物品id!$A:$B,2,FALSE)&amp;","</f>
        <v>102,</v>
      </c>
      <c r="AO12" s="17" t="str">
        <f t="shared" si="8"/>
        <v>[102]</v>
      </c>
      <c r="AP12" s="17" t="str">
        <f t="shared" si="3"/>
        <v>720,</v>
      </c>
      <c r="AQ12" s="17" t="str">
        <f t="shared" si="9"/>
        <v>[720]</v>
      </c>
      <c r="AR12" s="17" t="str">
        <f>IF(V12="","",VLOOKUP(V12,物品id!$A:$B,2,FALSE)&amp;",")</f>
        <v>20038,</v>
      </c>
      <c r="AS12" s="17" t="str">
        <f>IF(W12="","",VLOOKUP(W12,物品id!$A:$B,2,FALSE)&amp;",")</f>
        <v>102,</v>
      </c>
      <c r="AT12" s="17" t="str">
        <f t="shared" ref="AT12:AT13" si="38">AR12&amp;AS12</f>
        <v>20038,102,</v>
      </c>
      <c r="AU12" s="17" t="str">
        <f t="shared" ref="AU12:AU13" si="39">"["&amp;LEFT(AT12,LEN(AT12)-1)&amp;"]"</f>
        <v>[20038,102]</v>
      </c>
      <c r="AV12" s="17" t="str">
        <f t="shared" si="4"/>
        <v>2,</v>
      </c>
      <c r="AW12" s="17" t="str">
        <f t="shared" si="5"/>
        <v>1440,</v>
      </c>
      <c r="AX12" s="17" t="str">
        <f t="shared" ref="AX12:AX13" si="40">AV12&amp;AW12</f>
        <v>2,1440,</v>
      </c>
      <c r="AY12" s="17" t="str">
        <f t="shared" ref="AY12:AY13" si="41">"["&amp;LEFT(AX12,LEN(AX12)-1)&amp;"]"</f>
        <v>[2,1440]</v>
      </c>
    </row>
    <row r="13" spans="1:51" s="17" customFormat="1" x14ac:dyDescent="0.2">
      <c r="A13" s="17">
        <v>1</v>
      </c>
      <c r="B13" s="34" t="s">
        <v>1025</v>
      </c>
      <c r="C13" s="34">
        <v>4</v>
      </c>
      <c r="D13" s="34" t="s">
        <v>1142</v>
      </c>
      <c r="E13" s="17" t="s">
        <v>1015</v>
      </c>
      <c r="F13" s="17">
        <v>3</v>
      </c>
      <c r="G13" s="17" t="s">
        <v>803</v>
      </c>
      <c r="H13" s="17" t="s">
        <v>814</v>
      </c>
      <c r="J13" s="17">
        <v>1</v>
      </c>
      <c r="K13" s="17">
        <v>1</v>
      </c>
      <c r="L13" s="17">
        <v>1</v>
      </c>
      <c r="M13" s="35">
        <f>(IF(G13="",挂机玩法规划!$L$2,VLOOKUP(G13,物品id!A:D,4,FALSE)*IF(J13=0,1,4))*IF(J13=0,1,J13)+IF(H13="",挂机玩法规划!$L$2,VLOOKUP(H13,物品id!A:D,4,FALSE)*IF(K13=0,1,4))*IF(K13=0,1,K13)+IF(I13="",挂机玩法规划!$L$2,VLOOKUP(I13,物品id!A:D,4,FALSE)*IF(L13=0,1,4))*IF(L13=0,1,L13))/O13</f>
        <v>1.125</v>
      </c>
      <c r="N13" s="44">
        <f>IF(G13="",挂机玩法规划!$L$2,VLOOKUP(G13,物品id!A:D,4,FALSE)*4)+IF(H13="",挂机玩法规划!$L$2,VLOOKUP(H13,物品id!A:D,4,FALSE)*4)+IF(I13="",挂机玩法规划!$L$2,VLOOKUP(I13,物品id!A:D,4,FALSE)*4)</f>
        <v>90</v>
      </c>
      <c r="O13" s="44">
        <v>80</v>
      </c>
      <c r="P13" s="17">
        <v>1</v>
      </c>
      <c r="Q13" s="17">
        <v>1</v>
      </c>
      <c r="R13" s="17" t="s">
        <v>1131</v>
      </c>
      <c r="S13" s="17">
        <v>720</v>
      </c>
      <c r="T13" s="17" t="s">
        <v>835</v>
      </c>
      <c r="U13" s="17">
        <v>720</v>
      </c>
      <c r="V13" s="17" t="s">
        <v>1044</v>
      </c>
      <c r="W13" s="17" t="s">
        <v>200</v>
      </c>
      <c r="X13" s="17">
        <v>2</v>
      </c>
      <c r="Y13" s="17">
        <f>U13*挂机玩法规划!$O$4*VLOOKUP(E13,挂机玩法规划!$G$2:$I$17,3,FALSE)</f>
        <v>1440</v>
      </c>
      <c r="Z13" s="17">
        <f t="shared" si="6"/>
        <v>2.25</v>
      </c>
      <c r="AA13" s="17">
        <f t="shared" si="7"/>
        <v>1620</v>
      </c>
      <c r="AB13" s="17">
        <f>(VLOOKUP(V13,物品id!A:E,5,FALSE)*挂机玩法填表!Z13+VLOOKUP(挂机玩法填表!W13,物品id!A:E,5,FALSE)*挂机玩法填表!AA13)/(U13/60)</f>
        <v>12.344999999999999</v>
      </c>
      <c r="AD13" s="17" t="str">
        <f>IF(G13="","",VLOOKUP(G13,物品id!$A:$B,2,FALSE)&amp;",")</f>
        <v>1111,</v>
      </c>
      <c r="AE13" s="17" t="str">
        <f>IF(H13="","",VLOOKUP(H13,物品id!$A:$B,2,FALSE)&amp;",")</f>
        <v>2111,</v>
      </c>
      <c r="AF13" s="17" t="str">
        <f>IF(I13="","",VLOOKUP(I13,物品id!$A:$B,2,FALSE)&amp;",")</f>
        <v/>
      </c>
      <c r="AG13" s="17" t="str">
        <f t="shared" si="34"/>
        <v>1111,2111,</v>
      </c>
      <c r="AH13" s="17" t="str">
        <f t="shared" si="35"/>
        <v>[1111,2111]</v>
      </c>
      <c r="AI13" s="17" t="str">
        <f t="shared" si="0"/>
        <v>1,</v>
      </c>
      <c r="AJ13" s="17" t="str">
        <f t="shared" si="1"/>
        <v>1,</v>
      </c>
      <c r="AK13" s="17" t="str">
        <f t="shared" si="2"/>
        <v/>
      </c>
      <c r="AL13" s="17" t="str">
        <f t="shared" si="36"/>
        <v>1,1,</v>
      </c>
      <c r="AM13" s="17" t="str">
        <f t="shared" si="37"/>
        <v>[1,1]</v>
      </c>
      <c r="AN13" s="17" t="str">
        <f>VLOOKUP(T13,物品id!$A:$B,2,FALSE)&amp;","</f>
        <v>102,</v>
      </c>
      <c r="AO13" s="17" t="str">
        <f t="shared" si="8"/>
        <v>[102]</v>
      </c>
      <c r="AP13" s="17" t="str">
        <f t="shared" si="3"/>
        <v>720,</v>
      </c>
      <c r="AQ13" s="17" t="str">
        <f t="shared" si="9"/>
        <v>[720]</v>
      </c>
      <c r="AR13" s="17" t="str">
        <f>IF(V13="","",VLOOKUP(V13,物品id!$A:$B,2,FALSE)&amp;",")</f>
        <v>20038,</v>
      </c>
      <c r="AS13" s="17" t="str">
        <f>IF(W13="","",VLOOKUP(W13,物品id!$A:$B,2,FALSE)&amp;",")</f>
        <v>102,</v>
      </c>
      <c r="AT13" s="17" t="str">
        <f t="shared" si="38"/>
        <v>20038,102,</v>
      </c>
      <c r="AU13" s="17" t="str">
        <f t="shared" si="39"/>
        <v>[20038,102]</v>
      </c>
      <c r="AV13" s="17" t="str">
        <f t="shared" si="4"/>
        <v>2,</v>
      </c>
      <c r="AW13" s="17" t="str">
        <f t="shared" si="5"/>
        <v>1440,</v>
      </c>
      <c r="AX13" s="17" t="str">
        <f t="shared" si="40"/>
        <v>2,1440,</v>
      </c>
      <c r="AY13" s="17" t="str">
        <f t="shared" si="41"/>
        <v>[2,1440]</v>
      </c>
    </row>
    <row r="14" spans="1:51" s="17" customFormat="1" x14ac:dyDescent="0.2">
      <c r="A14" s="17">
        <v>1</v>
      </c>
      <c r="B14" s="34" t="s">
        <v>1025</v>
      </c>
      <c r="C14" s="34">
        <v>5</v>
      </c>
      <c r="D14" s="34" t="s">
        <v>1143</v>
      </c>
      <c r="E14" s="17" t="s">
        <v>1030</v>
      </c>
      <c r="F14" s="17">
        <v>3</v>
      </c>
      <c r="G14" s="17" t="s">
        <v>804</v>
      </c>
      <c r="J14" s="17">
        <v>0.5</v>
      </c>
      <c r="K14" s="17">
        <v>1</v>
      </c>
      <c r="L14" s="17">
        <v>1</v>
      </c>
      <c r="M14" s="35">
        <f>(IF(G14="",挂机玩法规划!$L$2,VLOOKUP(G14,物品id!A:D,4,FALSE)*IF(J14=0,1,4))*IF(J14=0,1,J14)+IF(H14="",挂机玩法规划!$L$2,VLOOKUP(H14,物品id!A:D,4,FALSE)*IF(K14=0,1,4))*IF(K14=0,1,K14)+IF(I14="",挂机玩法规划!$L$2,VLOOKUP(I14,物品id!A:D,4,FALSE)*IF(L14=0,1,4))*IF(L14=0,1,L14))/O14</f>
        <v>0.6</v>
      </c>
      <c r="N14" s="44">
        <f>IF(G14="",挂机玩法规划!$L$2,VLOOKUP(G14,物品id!A:D,4,FALSE)*4)+IF(H14="",挂机玩法规划!$L$2,VLOOKUP(H14,物品id!A:D,4,FALSE)*4)+IF(I14="",挂机玩法规划!$L$2,VLOOKUP(I14,物品id!A:D,4,FALSE)*4)</f>
        <v>100</v>
      </c>
      <c r="O14" s="44">
        <v>100</v>
      </c>
      <c r="P14" s="17">
        <v>2</v>
      </c>
      <c r="Q14" s="17" t="s">
        <v>1131</v>
      </c>
      <c r="R14" s="17" t="s">
        <v>1131</v>
      </c>
      <c r="S14" s="17">
        <v>120</v>
      </c>
      <c r="T14" s="17" t="s">
        <v>835</v>
      </c>
      <c r="U14" s="17">
        <v>120</v>
      </c>
      <c r="V14" s="17" t="s">
        <v>839</v>
      </c>
      <c r="W14" s="17" t="s">
        <v>200</v>
      </c>
      <c r="X14" s="17">
        <v>2</v>
      </c>
      <c r="Y14" s="17">
        <f>U14*挂机玩法规划!$O$4*VLOOKUP(E14,挂机玩法规划!$G$2:$I$17,3,FALSE)</f>
        <v>480</v>
      </c>
      <c r="Z14" s="17">
        <f t="shared" si="6"/>
        <v>1.2</v>
      </c>
      <c r="AA14" s="17">
        <f t="shared" si="7"/>
        <v>288</v>
      </c>
      <c r="AB14" s="17">
        <f>(VLOOKUP(V14,物品id!A:E,5,FALSE)*挂机玩法填表!Z14+VLOOKUP(挂机玩法填表!W14,物品id!A:E,5,FALSE)*挂机玩法填表!AA14)/(U14/60)</f>
        <v>21.167999999999999</v>
      </c>
      <c r="AD14" s="17" t="str">
        <f>IF(G14="","",VLOOKUP(G14,物品id!$A:$B,2,FALSE)&amp;",")</f>
        <v>1211,</v>
      </c>
      <c r="AE14" s="17" t="str">
        <f>IF(H14="","",VLOOKUP(H14,物品id!$A:$B,2,FALSE)&amp;",")</f>
        <v/>
      </c>
      <c r="AF14" s="17" t="str">
        <f>IF(I14="","",VLOOKUP(I14,物品id!$A:$B,2,FALSE)&amp;",")</f>
        <v/>
      </c>
      <c r="AG14" s="17" t="str">
        <f t="shared" ref="AG14:AG152" si="42">AD14&amp;AE14&amp;AF14</f>
        <v>1211,</v>
      </c>
      <c r="AH14" s="17" t="str">
        <f t="shared" ref="AH14:AH152" si="43">"["&amp;LEFT(AG14,LEN(AG14)-1)&amp;"]"</f>
        <v>[1211]</v>
      </c>
      <c r="AI14" s="17" t="str">
        <f t="shared" si="0"/>
        <v>2,</v>
      </c>
      <c r="AJ14" s="17" t="str">
        <f t="shared" si="1"/>
        <v/>
      </c>
      <c r="AK14" s="17" t="str">
        <f t="shared" si="2"/>
        <v/>
      </c>
      <c r="AL14" s="17" t="str">
        <f t="shared" ref="AL14:AL152" si="44">AI14&amp;AJ14&amp;AK14</f>
        <v>2,</v>
      </c>
      <c r="AM14" s="17" t="str">
        <f t="shared" ref="AM14:AM152" si="45">"["&amp;LEFT(AL14,LEN(AL14)-1)&amp;"]"</f>
        <v>[2]</v>
      </c>
      <c r="AN14" s="17" t="str">
        <f>VLOOKUP(T14,物品id!$A:$B,2,FALSE)&amp;","</f>
        <v>102,</v>
      </c>
      <c r="AO14" s="17" t="str">
        <f t="shared" si="8"/>
        <v>[102]</v>
      </c>
      <c r="AP14" s="17" t="str">
        <f t="shared" si="3"/>
        <v>120,</v>
      </c>
      <c r="AQ14" s="17" t="str">
        <f t="shared" si="9"/>
        <v>[120]</v>
      </c>
      <c r="AR14" s="17" t="str">
        <f>IF(V14="","",VLOOKUP(V14,物品id!$A:$B,2,FALSE)&amp;",")</f>
        <v>20035,</v>
      </c>
      <c r="AS14" s="17" t="str">
        <f>IF(W14="","",VLOOKUP(W14,物品id!$A:$B,2,FALSE)&amp;",")</f>
        <v>102,</v>
      </c>
      <c r="AT14" s="17" t="str">
        <f t="shared" ref="AT14:AT152" si="46">AR14&amp;AS14</f>
        <v>20035,102,</v>
      </c>
      <c r="AU14" s="17" t="str">
        <f t="shared" ref="AU14:AU152" si="47">"["&amp;LEFT(AT14,LEN(AT14)-1)&amp;"]"</f>
        <v>[20035,102]</v>
      </c>
      <c r="AV14" s="17" t="str">
        <f t="shared" si="4"/>
        <v>2,</v>
      </c>
      <c r="AW14" s="17" t="str">
        <f t="shared" si="5"/>
        <v>480,</v>
      </c>
      <c r="AX14" s="17" t="str">
        <f t="shared" ref="AX14:AX152" si="48">AV14&amp;AW14</f>
        <v>2,480,</v>
      </c>
      <c r="AY14" s="17" t="str">
        <f t="shared" ref="AY14:AY152" si="49">"["&amp;LEFT(AX14,LEN(AX14)-1)&amp;"]"</f>
        <v>[2,480]</v>
      </c>
    </row>
    <row r="15" spans="1:51" s="17" customFormat="1" x14ac:dyDescent="0.2">
      <c r="A15" s="17">
        <v>1</v>
      </c>
      <c r="B15" s="34" t="s">
        <v>1025</v>
      </c>
      <c r="C15" s="34">
        <v>5</v>
      </c>
      <c r="D15" s="34" t="s">
        <v>1143</v>
      </c>
      <c r="E15" s="17" t="s">
        <v>1016</v>
      </c>
      <c r="F15" s="17">
        <v>3</v>
      </c>
      <c r="G15" s="17" t="s">
        <v>1110</v>
      </c>
      <c r="J15" s="17">
        <v>0.5</v>
      </c>
      <c r="K15" s="17">
        <v>1</v>
      </c>
      <c r="L15" s="17">
        <v>1</v>
      </c>
      <c r="M15" s="35">
        <f>(IF(G15="",挂机玩法规划!$L$2,VLOOKUP(G15,物品id!A:D,4,FALSE)*IF(J15=0,1,4))*IF(J15=0,1,J15)+IF(H15="",挂机玩法规划!$L$2,VLOOKUP(H15,物品id!A:D,4,FALSE)*IF(K15=0,1,4))*IF(K15=0,1,K15)+IF(I15="",挂机玩法规划!$L$2,VLOOKUP(I15,物品id!A:D,4,FALSE)*IF(L15=0,1,4))*IF(L15=0,1,L15))/O15</f>
        <v>0.6</v>
      </c>
      <c r="N15" s="44">
        <f>IF(G15="",挂机玩法规划!$L$2,VLOOKUP(G15,物品id!A:D,4,FALSE)*4)+IF(H15="",挂机玩法规划!$L$2,VLOOKUP(H15,物品id!A:D,4,FALSE)*4)+IF(I15="",挂机玩法规划!$L$2,VLOOKUP(I15,物品id!A:D,4,FALSE)*4)</f>
        <v>100</v>
      </c>
      <c r="O15" s="44">
        <v>100</v>
      </c>
      <c r="P15" s="17">
        <v>2</v>
      </c>
      <c r="Q15" s="17" t="s">
        <v>1131</v>
      </c>
      <c r="R15" s="17" t="s">
        <v>1131</v>
      </c>
      <c r="S15" s="17">
        <v>120</v>
      </c>
      <c r="T15" s="17" t="s">
        <v>835</v>
      </c>
      <c r="U15" s="17">
        <v>120</v>
      </c>
      <c r="V15" s="17" t="s">
        <v>839</v>
      </c>
      <c r="W15" s="17" t="s">
        <v>200</v>
      </c>
      <c r="X15" s="17">
        <v>2</v>
      </c>
      <c r="Y15" s="17">
        <f>U15*挂机玩法规划!$O$4*VLOOKUP(E15,挂机玩法规划!$G$2:$I$17,3,FALSE)</f>
        <v>480</v>
      </c>
      <c r="Z15" s="17">
        <f t="shared" si="6"/>
        <v>1.2</v>
      </c>
      <c r="AA15" s="17">
        <f t="shared" si="7"/>
        <v>288</v>
      </c>
      <c r="AB15" s="17">
        <f>(VLOOKUP(V15,物品id!A:E,5,FALSE)*挂机玩法填表!Z15+VLOOKUP(挂机玩法填表!W15,物品id!A:E,5,FALSE)*挂机玩法填表!AA15)/(U15/60)</f>
        <v>21.167999999999999</v>
      </c>
      <c r="AD15" s="17" t="str">
        <f>IF(G15="","",VLOOKUP(G15,物品id!$A:$B,2,FALSE)&amp;",")</f>
        <v>2211,</v>
      </c>
      <c r="AE15" s="17" t="str">
        <f>IF(H15="","",VLOOKUP(H15,物品id!$A:$B,2,FALSE)&amp;",")</f>
        <v/>
      </c>
      <c r="AF15" s="17" t="str">
        <f>IF(I15="","",VLOOKUP(I15,物品id!$A:$B,2,FALSE)&amp;",")</f>
        <v/>
      </c>
      <c r="AG15" s="17" t="str">
        <f t="shared" ref="AG15:AG16" si="50">AD15&amp;AE15&amp;AF15</f>
        <v>2211,</v>
      </c>
      <c r="AH15" s="17" t="str">
        <f t="shared" ref="AH15:AH16" si="51">"["&amp;LEFT(AG15,LEN(AG15)-1)&amp;"]"</f>
        <v>[2211]</v>
      </c>
      <c r="AI15" s="17" t="str">
        <f t="shared" si="0"/>
        <v>2,</v>
      </c>
      <c r="AJ15" s="17" t="str">
        <f t="shared" si="1"/>
        <v/>
      </c>
      <c r="AK15" s="17" t="str">
        <f t="shared" si="2"/>
        <v/>
      </c>
      <c r="AL15" s="17" t="str">
        <f t="shared" ref="AL15:AL16" si="52">AI15&amp;AJ15&amp;AK15</f>
        <v>2,</v>
      </c>
      <c r="AM15" s="17" t="str">
        <f t="shared" ref="AM15:AM16" si="53">"["&amp;LEFT(AL15,LEN(AL15)-1)&amp;"]"</f>
        <v>[2]</v>
      </c>
      <c r="AN15" s="17" t="str">
        <f>VLOOKUP(T15,物品id!$A:$B,2,FALSE)&amp;","</f>
        <v>102,</v>
      </c>
      <c r="AO15" s="17" t="str">
        <f t="shared" si="8"/>
        <v>[102]</v>
      </c>
      <c r="AP15" s="17" t="str">
        <f t="shared" si="3"/>
        <v>120,</v>
      </c>
      <c r="AQ15" s="17" t="str">
        <f t="shared" si="9"/>
        <v>[120]</v>
      </c>
      <c r="AR15" s="17" t="str">
        <f>IF(V15="","",VLOOKUP(V15,物品id!$A:$B,2,FALSE)&amp;",")</f>
        <v>20035,</v>
      </c>
      <c r="AS15" s="17" t="str">
        <f>IF(W15="","",VLOOKUP(W15,物品id!$A:$B,2,FALSE)&amp;",")</f>
        <v>102,</v>
      </c>
      <c r="AT15" s="17" t="str">
        <f t="shared" ref="AT15:AT16" si="54">AR15&amp;AS15</f>
        <v>20035,102,</v>
      </c>
      <c r="AU15" s="17" t="str">
        <f t="shared" ref="AU15:AU16" si="55">"["&amp;LEFT(AT15,LEN(AT15)-1)&amp;"]"</f>
        <v>[20035,102]</v>
      </c>
      <c r="AV15" s="17" t="str">
        <f t="shared" si="4"/>
        <v>2,</v>
      </c>
      <c r="AW15" s="17" t="str">
        <f t="shared" si="5"/>
        <v>480,</v>
      </c>
      <c r="AX15" s="17" t="str">
        <f t="shared" ref="AX15:AX16" si="56">AV15&amp;AW15</f>
        <v>2,480,</v>
      </c>
      <c r="AY15" s="17" t="str">
        <f t="shared" ref="AY15:AY16" si="57">"["&amp;LEFT(AX15,LEN(AX15)-1)&amp;"]"</f>
        <v>[2,480]</v>
      </c>
    </row>
    <row r="16" spans="1:51" s="17" customFormat="1" x14ac:dyDescent="0.2">
      <c r="A16" s="17">
        <v>1</v>
      </c>
      <c r="B16" s="34" t="s">
        <v>1025</v>
      </c>
      <c r="C16" s="34">
        <v>5</v>
      </c>
      <c r="D16" s="34" t="s">
        <v>1143</v>
      </c>
      <c r="E16" s="17" t="s">
        <v>1016</v>
      </c>
      <c r="F16" s="17">
        <v>3</v>
      </c>
      <c r="G16" s="17" t="s">
        <v>1111</v>
      </c>
      <c r="J16" s="17">
        <v>0.5</v>
      </c>
      <c r="K16" s="17">
        <v>1</v>
      </c>
      <c r="L16" s="17">
        <v>1</v>
      </c>
      <c r="M16" s="35">
        <f>(IF(G16="",挂机玩法规划!$L$2,VLOOKUP(G16,物品id!A:D,4,FALSE)*IF(J16=0,1,4))*IF(J16=0,1,J16)+IF(H16="",挂机玩法规划!$L$2,VLOOKUP(H16,物品id!A:D,4,FALSE)*IF(K16=0,1,4))*IF(K16=0,1,K16)+IF(I16="",挂机玩法规划!$L$2,VLOOKUP(I16,物品id!A:D,4,FALSE)*IF(L16=0,1,4))*IF(L16=0,1,L16))/O16</f>
        <v>0.6</v>
      </c>
      <c r="N16" s="44">
        <f>IF(G16="",挂机玩法规划!$L$2,VLOOKUP(G16,物品id!A:D,4,FALSE)*4)+IF(H16="",挂机玩法规划!$L$2,VLOOKUP(H16,物品id!A:D,4,FALSE)*4)+IF(I16="",挂机玩法规划!$L$2,VLOOKUP(I16,物品id!A:D,4,FALSE)*4)</f>
        <v>100</v>
      </c>
      <c r="O16" s="44">
        <v>100</v>
      </c>
      <c r="P16" s="17">
        <v>2</v>
      </c>
      <c r="Q16" s="17" t="s">
        <v>1131</v>
      </c>
      <c r="R16" s="17" t="s">
        <v>1131</v>
      </c>
      <c r="S16" s="17">
        <v>120</v>
      </c>
      <c r="T16" s="17" t="s">
        <v>835</v>
      </c>
      <c r="U16" s="17">
        <v>120</v>
      </c>
      <c r="V16" s="17" t="s">
        <v>839</v>
      </c>
      <c r="W16" s="17" t="s">
        <v>200</v>
      </c>
      <c r="X16" s="17">
        <v>2</v>
      </c>
      <c r="Y16" s="17">
        <f>U16*挂机玩法规划!$O$4*VLOOKUP(E16,挂机玩法规划!$G$2:$I$17,3,FALSE)</f>
        <v>480</v>
      </c>
      <c r="Z16" s="17">
        <f t="shared" si="6"/>
        <v>1.2</v>
      </c>
      <c r="AA16" s="17">
        <f t="shared" si="7"/>
        <v>288</v>
      </c>
      <c r="AB16" s="17">
        <f>(VLOOKUP(V16,物品id!A:E,5,FALSE)*挂机玩法填表!Z16+VLOOKUP(挂机玩法填表!W16,物品id!A:E,5,FALSE)*挂机玩法填表!AA16)/(U16/60)</f>
        <v>21.167999999999999</v>
      </c>
      <c r="AD16" s="17" t="str">
        <f>IF(G16="","",VLOOKUP(G16,物品id!$A:$B,2,FALSE)&amp;",")</f>
        <v>3211,</v>
      </c>
      <c r="AE16" s="17" t="str">
        <f>IF(H16="","",VLOOKUP(H16,物品id!$A:$B,2,FALSE)&amp;",")</f>
        <v/>
      </c>
      <c r="AF16" s="17" t="str">
        <f>IF(I16="","",VLOOKUP(I16,物品id!$A:$B,2,FALSE)&amp;",")</f>
        <v/>
      </c>
      <c r="AG16" s="17" t="str">
        <f t="shared" si="50"/>
        <v>3211,</v>
      </c>
      <c r="AH16" s="17" t="str">
        <f t="shared" si="51"/>
        <v>[3211]</v>
      </c>
      <c r="AI16" s="17" t="str">
        <f t="shared" si="0"/>
        <v>2,</v>
      </c>
      <c r="AJ16" s="17" t="str">
        <f t="shared" si="1"/>
        <v/>
      </c>
      <c r="AK16" s="17" t="str">
        <f t="shared" si="2"/>
        <v/>
      </c>
      <c r="AL16" s="17" t="str">
        <f t="shared" si="52"/>
        <v>2,</v>
      </c>
      <c r="AM16" s="17" t="str">
        <f t="shared" si="53"/>
        <v>[2]</v>
      </c>
      <c r="AN16" s="17" t="str">
        <f>VLOOKUP(T16,物品id!$A:$B,2,FALSE)&amp;","</f>
        <v>102,</v>
      </c>
      <c r="AO16" s="17" t="str">
        <f t="shared" si="8"/>
        <v>[102]</v>
      </c>
      <c r="AP16" s="17" t="str">
        <f t="shared" si="3"/>
        <v>120,</v>
      </c>
      <c r="AQ16" s="17" t="str">
        <f t="shared" si="9"/>
        <v>[120]</v>
      </c>
      <c r="AR16" s="17" t="str">
        <f>IF(V16="","",VLOOKUP(V16,物品id!$A:$B,2,FALSE)&amp;",")</f>
        <v>20035,</v>
      </c>
      <c r="AS16" s="17" t="str">
        <f>IF(W16="","",VLOOKUP(W16,物品id!$A:$B,2,FALSE)&amp;",")</f>
        <v>102,</v>
      </c>
      <c r="AT16" s="17" t="str">
        <f t="shared" si="54"/>
        <v>20035,102,</v>
      </c>
      <c r="AU16" s="17" t="str">
        <f t="shared" si="55"/>
        <v>[20035,102]</v>
      </c>
      <c r="AV16" s="17" t="str">
        <f t="shared" si="4"/>
        <v>2,</v>
      </c>
      <c r="AW16" s="17" t="str">
        <f t="shared" si="5"/>
        <v>480,</v>
      </c>
      <c r="AX16" s="17" t="str">
        <f t="shared" si="56"/>
        <v>2,480,</v>
      </c>
      <c r="AY16" s="17" t="str">
        <f t="shared" si="57"/>
        <v>[2,480]</v>
      </c>
    </row>
    <row r="17" spans="1:51" s="17" customFormat="1" x14ac:dyDescent="0.2">
      <c r="A17" s="17">
        <v>1</v>
      </c>
      <c r="B17" s="34" t="s">
        <v>1025</v>
      </c>
      <c r="C17" s="34">
        <v>6</v>
      </c>
      <c r="D17" s="34" t="s">
        <v>1144</v>
      </c>
      <c r="E17" s="17" t="s">
        <v>1030</v>
      </c>
      <c r="F17" s="17">
        <v>3</v>
      </c>
      <c r="G17" s="17" t="s">
        <v>804</v>
      </c>
      <c r="J17" s="17">
        <v>0.5</v>
      </c>
      <c r="K17" s="17">
        <v>1</v>
      </c>
      <c r="L17" s="17">
        <v>1</v>
      </c>
      <c r="M17" s="35">
        <f>(IF(G17="",挂机玩法规划!$L$2,VLOOKUP(G17,物品id!A:D,4,FALSE)*IF(J17=0,1,4))*IF(J17=0,1,J17)+IF(H17="",挂机玩法规划!$L$2,VLOOKUP(H17,物品id!A:D,4,FALSE)*IF(K17=0,1,4))*IF(K17=0,1,K17)+IF(I17="",挂机玩法规划!$L$2,VLOOKUP(I17,物品id!A:D,4,FALSE)*IF(L17=0,1,4))*IF(L17=0,1,L17))/O17</f>
        <v>0.6</v>
      </c>
      <c r="N17" s="44">
        <f>IF(G17="",挂机玩法规划!$L$2,VLOOKUP(G17,物品id!A:D,4,FALSE)*4)+IF(H17="",挂机玩法规划!$L$2,VLOOKUP(H17,物品id!A:D,4,FALSE)*4)+IF(I17="",挂机玩法规划!$L$2,VLOOKUP(I17,物品id!A:D,4,FALSE)*4)</f>
        <v>100</v>
      </c>
      <c r="O17" s="44">
        <v>100</v>
      </c>
      <c r="P17" s="17">
        <v>2</v>
      </c>
      <c r="Q17" s="17" t="s">
        <v>1131</v>
      </c>
      <c r="R17" s="17" t="s">
        <v>1131</v>
      </c>
      <c r="S17" s="17">
        <v>240</v>
      </c>
      <c r="T17" s="17" t="s">
        <v>835</v>
      </c>
      <c r="U17" s="17">
        <v>240</v>
      </c>
      <c r="V17" s="17" t="s">
        <v>839</v>
      </c>
      <c r="W17" s="17" t="s">
        <v>200</v>
      </c>
      <c r="X17" s="17">
        <v>3</v>
      </c>
      <c r="Y17" s="17">
        <f>U17*挂机玩法规划!$O$4*VLOOKUP(E17,挂机玩法规划!$G$2:$I$17,3,FALSE)</f>
        <v>960</v>
      </c>
      <c r="Z17" s="17">
        <f t="shared" si="6"/>
        <v>1.7999999999999998</v>
      </c>
      <c r="AA17" s="17">
        <f t="shared" si="7"/>
        <v>576</v>
      </c>
      <c r="AB17" s="17">
        <f>(VLOOKUP(V17,物品id!A:E,5,FALSE)*挂机玩法填表!Z17+VLOOKUP(挂机玩法填表!W17,物品id!A:E,5,FALSE)*挂机玩法填表!AA17)/(U17/60)</f>
        <v>16.667999999999999</v>
      </c>
      <c r="AD17" s="17" t="str">
        <f>IF(G17="","",VLOOKUP(G17,物品id!$A:$B,2,FALSE)&amp;",")</f>
        <v>1211,</v>
      </c>
      <c r="AE17" s="17" t="str">
        <f>IF(H17="","",VLOOKUP(H17,物品id!$A:$B,2,FALSE)&amp;",")</f>
        <v/>
      </c>
      <c r="AF17" s="17" t="str">
        <f>IF(I17="","",VLOOKUP(I17,物品id!$A:$B,2,FALSE)&amp;",")</f>
        <v/>
      </c>
      <c r="AG17" s="17" t="str">
        <f t="shared" si="42"/>
        <v>1211,</v>
      </c>
      <c r="AH17" s="17" t="str">
        <f t="shared" si="43"/>
        <v>[1211]</v>
      </c>
      <c r="AI17" s="17" t="str">
        <f t="shared" si="0"/>
        <v>2,</v>
      </c>
      <c r="AJ17" s="17" t="str">
        <f t="shared" si="1"/>
        <v/>
      </c>
      <c r="AK17" s="17" t="str">
        <f t="shared" si="2"/>
        <v/>
      </c>
      <c r="AL17" s="17" t="str">
        <f t="shared" si="44"/>
        <v>2,</v>
      </c>
      <c r="AM17" s="17" t="str">
        <f t="shared" si="45"/>
        <v>[2]</v>
      </c>
      <c r="AN17" s="17" t="str">
        <f>VLOOKUP(T17,物品id!$A:$B,2,FALSE)&amp;","</f>
        <v>102,</v>
      </c>
      <c r="AO17" s="17" t="str">
        <f t="shared" si="8"/>
        <v>[102]</v>
      </c>
      <c r="AP17" s="17" t="str">
        <f t="shared" si="3"/>
        <v>240,</v>
      </c>
      <c r="AQ17" s="17" t="str">
        <f t="shared" si="9"/>
        <v>[240]</v>
      </c>
      <c r="AR17" s="17" t="str">
        <f>IF(V17="","",VLOOKUP(V17,物品id!$A:$B,2,FALSE)&amp;",")</f>
        <v>20035,</v>
      </c>
      <c r="AS17" s="17" t="str">
        <f>IF(W17="","",VLOOKUP(W17,物品id!$A:$B,2,FALSE)&amp;",")</f>
        <v>102,</v>
      </c>
      <c r="AT17" s="17" t="str">
        <f t="shared" si="46"/>
        <v>20035,102,</v>
      </c>
      <c r="AU17" s="17" t="str">
        <f t="shared" si="47"/>
        <v>[20035,102]</v>
      </c>
      <c r="AV17" s="17" t="str">
        <f t="shared" si="4"/>
        <v>3,</v>
      </c>
      <c r="AW17" s="17" t="str">
        <f t="shared" si="5"/>
        <v>960,</v>
      </c>
      <c r="AX17" s="17" t="str">
        <f t="shared" si="48"/>
        <v>3,960,</v>
      </c>
      <c r="AY17" s="17" t="str">
        <f t="shared" si="49"/>
        <v>[3,960]</v>
      </c>
    </row>
    <row r="18" spans="1:51" s="17" customFormat="1" x14ac:dyDescent="0.2">
      <c r="A18" s="17">
        <v>1</v>
      </c>
      <c r="B18" s="34" t="s">
        <v>1025</v>
      </c>
      <c r="C18" s="34">
        <v>6</v>
      </c>
      <c r="D18" s="34" t="s">
        <v>1144</v>
      </c>
      <c r="E18" s="17" t="s">
        <v>1016</v>
      </c>
      <c r="F18" s="17">
        <v>3</v>
      </c>
      <c r="G18" s="17" t="s">
        <v>815</v>
      </c>
      <c r="J18" s="17">
        <v>0.5</v>
      </c>
      <c r="K18" s="17">
        <v>1</v>
      </c>
      <c r="L18" s="17">
        <v>1</v>
      </c>
      <c r="M18" s="35">
        <f>(IF(G18="",挂机玩法规划!$L$2,VLOOKUP(G18,物品id!A:D,4,FALSE)*IF(J18=0,1,4))*IF(J18=0,1,J18)+IF(H18="",挂机玩法规划!$L$2,VLOOKUP(H18,物品id!A:D,4,FALSE)*IF(K18=0,1,4))*IF(K18=0,1,K18)+IF(I18="",挂机玩法规划!$L$2,VLOOKUP(I18,物品id!A:D,4,FALSE)*IF(L18=0,1,4))*IF(L18=0,1,L18))/O18</f>
        <v>0.6</v>
      </c>
      <c r="N18" s="44">
        <f>IF(G18="",挂机玩法规划!$L$2,VLOOKUP(G18,物品id!A:D,4,FALSE)*4)+IF(H18="",挂机玩法规划!$L$2,VLOOKUP(H18,物品id!A:D,4,FALSE)*4)+IF(I18="",挂机玩法规划!$L$2,VLOOKUP(I18,物品id!A:D,4,FALSE)*4)</f>
        <v>100</v>
      </c>
      <c r="O18" s="44">
        <v>100</v>
      </c>
      <c r="P18" s="17">
        <v>2</v>
      </c>
      <c r="Q18" s="17" t="s">
        <v>1131</v>
      </c>
      <c r="R18" s="17" t="s">
        <v>1131</v>
      </c>
      <c r="S18" s="17">
        <v>240</v>
      </c>
      <c r="T18" s="17" t="s">
        <v>835</v>
      </c>
      <c r="U18" s="17">
        <v>240</v>
      </c>
      <c r="V18" s="17" t="s">
        <v>839</v>
      </c>
      <c r="W18" s="17" t="s">
        <v>200</v>
      </c>
      <c r="X18" s="17">
        <v>3</v>
      </c>
      <c r="Y18" s="17">
        <f>U18*挂机玩法规划!$O$4*VLOOKUP(E18,挂机玩法规划!$G$2:$I$17,3,FALSE)</f>
        <v>960</v>
      </c>
      <c r="Z18" s="17">
        <f t="shared" si="6"/>
        <v>1.7999999999999998</v>
      </c>
      <c r="AA18" s="17">
        <f t="shared" si="7"/>
        <v>576</v>
      </c>
      <c r="AB18" s="17">
        <f>(VLOOKUP(V18,物品id!A:E,5,FALSE)*挂机玩法填表!Z18+VLOOKUP(挂机玩法填表!W18,物品id!A:E,5,FALSE)*挂机玩法填表!AA18)/(U18/60)</f>
        <v>16.667999999999999</v>
      </c>
      <c r="AD18" s="17" t="str">
        <f>IF(G18="","",VLOOKUP(G18,物品id!$A:$B,2,FALSE)&amp;",")</f>
        <v>2211,</v>
      </c>
      <c r="AE18" s="17" t="str">
        <f>IF(H18="","",VLOOKUP(H18,物品id!$A:$B,2,FALSE)&amp;",")</f>
        <v/>
      </c>
      <c r="AF18" s="17" t="str">
        <f>IF(I18="","",VLOOKUP(I18,物品id!$A:$B,2,FALSE)&amp;",")</f>
        <v/>
      </c>
      <c r="AG18" s="17" t="str">
        <f t="shared" ref="AG18:AG19" si="58">AD18&amp;AE18&amp;AF18</f>
        <v>2211,</v>
      </c>
      <c r="AH18" s="17" t="str">
        <f t="shared" ref="AH18:AH19" si="59">"["&amp;LEFT(AG18,LEN(AG18)-1)&amp;"]"</f>
        <v>[2211]</v>
      </c>
      <c r="AI18" s="17" t="str">
        <f t="shared" si="0"/>
        <v>2,</v>
      </c>
      <c r="AJ18" s="17" t="str">
        <f t="shared" si="1"/>
        <v/>
      </c>
      <c r="AK18" s="17" t="str">
        <f t="shared" si="2"/>
        <v/>
      </c>
      <c r="AL18" s="17" t="str">
        <f t="shared" ref="AL18:AL19" si="60">AI18&amp;AJ18&amp;AK18</f>
        <v>2,</v>
      </c>
      <c r="AM18" s="17" t="str">
        <f t="shared" ref="AM18:AM19" si="61">"["&amp;LEFT(AL18,LEN(AL18)-1)&amp;"]"</f>
        <v>[2]</v>
      </c>
      <c r="AN18" s="17" t="str">
        <f>VLOOKUP(T18,物品id!$A:$B,2,FALSE)&amp;","</f>
        <v>102,</v>
      </c>
      <c r="AO18" s="17" t="str">
        <f t="shared" si="8"/>
        <v>[102]</v>
      </c>
      <c r="AP18" s="17" t="str">
        <f t="shared" si="3"/>
        <v>240,</v>
      </c>
      <c r="AQ18" s="17" t="str">
        <f t="shared" si="9"/>
        <v>[240]</v>
      </c>
      <c r="AR18" s="17" t="str">
        <f>IF(V18="","",VLOOKUP(V18,物品id!$A:$B,2,FALSE)&amp;",")</f>
        <v>20035,</v>
      </c>
      <c r="AS18" s="17" t="str">
        <f>IF(W18="","",VLOOKUP(W18,物品id!$A:$B,2,FALSE)&amp;",")</f>
        <v>102,</v>
      </c>
      <c r="AT18" s="17" t="str">
        <f t="shared" ref="AT18:AT19" si="62">AR18&amp;AS18</f>
        <v>20035,102,</v>
      </c>
      <c r="AU18" s="17" t="str">
        <f t="shared" ref="AU18:AU19" si="63">"["&amp;LEFT(AT18,LEN(AT18)-1)&amp;"]"</f>
        <v>[20035,102]</v>
      </c>
      <c r="AV18" s="17" t="str">
        <f t="shared" si="4"/>
        <v>3,</v>
      </c>
      <c r="AW18" s="17" t="str">
        <f t="shared" si="5"/>
        <v>960,</v>
      </c>
      <c r="AX18" s="17" t="str">
        <f t="shared" ref="AX18:AX19" si="64">AV18&amp;AW18</f>
        <v>3,960,</v>
      </c>
      <c r="AY18" s="17" t="str">
        <f t="shared" ref="AY18:AY19" si="65">"["&amp;LEFT(AX18,LEN(AX18)-1)&amp;"]"</f>
        <v>[3,960]</v>
      </c>
    </row>
    <row r="19" spans="1:51" s="17" customFormat="1" x14ac:dyDescent="0.2">
      <c r="A19" s="17">
        <v>1</v>
      </c>
      <c r="B19" s="34" t="s">
        <v>1025</v>
      </c>
      <c r="C19" s="34">
        <v>6</v>
      </c>
      <c r="D19" s="34" t="s">
        <v>1144</v>
      </c>
      <c r="E19" s="17" t="s">
        <v>1016</v>
      </c>
      <c r="F19" s="17">
        <v>3</v>
      </c>
      <c r="G19" s="17" t="s">
        <v>825</v>
      </c>
      <c r="J19" s="17">
        <v>0.5</v>
      </c>
      <c r="K19" s="17">
        <v>1</v>
      </c>
      <c r="L19" s="17">
        <v>1</v>
      </c>
      <c r="M19" s="35">
        <f>(IF(G19="",挂机玩法规划!$L$2,VLOOKUP(G19,物品id!A:D,4,FALSE)*IF(J19=0,1,4))*IF(J19=0,1,J19)+IF(H19="",挂机玩法规划!$L$2,VLOOKUP(H19,物品id!A:D,4,FALSE)*IF(K19=0,1,4))*IF(K19=0,1,K19)+IF(I19="",挂机玩法规划!$L$2,VLOOKUP(I19,物品id!A:D,4,FALSE)*IF(L19=0,1,4))*IF(L19=0,1,L19))/O19</f>
        <v>0.6</v>
      </c>
      <c r="N19" s="44">
        <f>IF(G19="",挂机玩法规划!$L$2,VLOOKUP(G19,物品id!A:D,4,FALSE)*4)+IF(H19="",挂机玩法规划!$L$2,VLOOKUP(H19,物品id!A:D,4,FALSE)*4)+IF(I19="",挂机玩法规划!$L$2,VLOOKUP(I19,物品id!A:D,4,FALSE)*4)</f>
        <v>100</v>
      </c>
      <c r="O19" s="44">
        <v>100</v>
      </c>
      <c r="P19" s="17">
        <v>2</v>
      </c>
      <c r="Q19" s="17" t="s">
        <v>1131</v>
      </c>
      <c r="R19" s="17" t="s">
        <v>1131</v>
      </c>
      <c r="S19" s="17">
        <v>240</v>
      </c>
      <c r="T19" s="17" t="s">
        <v>835</v>
      </c>
      <c r="U19" s="17">
        <v>240</v>
      </c>
      <c r="V19" s="17" t="s">
        <v>839</v>
      </c>
      <c r="W19" s="17" t="s">
        <v>200</v>
      </c>
      <c r="X19" s="17">
        <v>3</v>
      </c>
      <c r="Y19" s="17">
        <f>U19*挂机玩法规划!$O$4*VLOOKUP(E19,挂机玩法规划!$G$2:$I$17,3,FALSE)</f>
        <v>960</v>
      </c>
      <c r="Z19" s="17">
        <f t="shared" si="6"/>
        <v>1.7999999999999998</v>
      </c>
      <c r="AA19" s="17">
        <f t="shared" si="7"/>
        <v>576</v>
      </c>
      <c r="AB19" s="17">
        <f>(VLOOKUP(V19,物品id!A:E,5,FALSE)*挂机玩法填表!Z19+VLOOKUP(挂机玩法填表!W19,物品id!A:E,5,FALSE)*挂机玩法填表!AA19)/(U19/60)</f>
        <v>16.667999999999999</v>
      </c>
      <c r="AD19" s="17" t="str">
        <f>IF(G19="","",VLOOKUP(G19,物品id!$A:$B,2,FALSE)&amp;",")</f>
        <v>3211,</v>
      </c>
      <c r="AE19" s="17" t="str">
        <f>IF(H19="","",VLOOKUP(H19,物品id!$A:$B,2,FALSE)&amp;",")</f>
        <v/>
      </c>
      <c r="AF19" s="17" t="str">
        <f>IF(I19="","",VLOOKUP(I19,物品id!$A:$B,2,FALSE)&amp;",")</f>
        <v/>
      </c>
      <c r="AG19" s="17" t="str">
        <f t="shared" si="58"/>
        <v>3211,</v>
      </c>
      <c r="AH19" s="17" t="str">
        <f t="shared" si="59"/>
        <v>[3211]</v>
      </c>
      <c r="AI19" s="17" t="str">
        <f t="shared" si="0"/>
        <v>2,</v>
      </c>
      <c r="AJ19" s="17" t="str">
        <f t="shared" si="1"/>
        <v/>
      </c>
      <c r="AK19" s="17" t="str">
        <f t="shared" si="2"/>
        <v/>
      </c>
      <c r="AL19" s="17" t="str">
        <f t="shared" si="60"/>
        <v>2,</v>
      </c>
      <c r="AM19" s="17" t="str">
        <f t="shared" si="61"/>
        <v>[2]</v>
      </c>
      <c r="AN19" s="17" t="str">
        <f>VLOOKUP(T19,物品id!$A:$B,2,FALSE)&amp;","</f>
        <v>102,</v>
      </c>
      <c r="AO19" s="17" t="str">
        <f t="shared" si="8"/>
        <v>[102]</v>
      </c>
      <c r="AP19" s="17" t="str">
        <f t="shared" si="3"/>
        <v>240,</v>
      </c>
      <c r="AQ19" s="17" t="str">
        <f t="shared" si="9"/>
        <v>[240]</v>
      </c>
      <c r="AR19" s="17" t="str">
        <f>IF(V19="","",VLOOKUP(V19,物品id!$A:$B,2,FALSE)&amp;",")</f>
        <v>20035,</v>
      </c>
      <c r="AS19" s="17" t="str">
        <f>IF(W19="","",VLOOKUP(W19,物品id!$A:$B,2,FALSE)&amp;",")</f>
        <v>102,</v>
      </c>
      <c r="AT19" s="17" t="str">
        <f t="shared" si="62"/>
        <v>20035,102,</v>
      </c>
      <c r="AU19" s="17" t="str">
        <f t="shared" si="63"/>
        <v>[20035,102]</v>
      </c>
      <c r="AV19" s="17" t="str">
        <f t="shared" si="4"/>
        <v>3,</v>
      </c>
      <c r="AW19" s="17" t="str">
        <f t="shared" si="5"/>
        <v>960,</v>
      </c>
      <c r="AX19" s="17" t="str">
        <f t="shared" si="64"/>
        <v>3,960,</v>
      </c>
      <c r="AY19" s="17" t="str">
        <f t="shared" si="65"/>
        <v>[3,960]</v>
      </c>
    </row>
    <row r="20" spans="1:51" s="17" customFormat="1" x14ac:dyDescent="0.2">
      <c r="A20" s="17">
        <v>1</v>
      </c>
      <c r="B20" s="34" t="s">
        <v>1025</v>
      </c>
      <c r="C20" s="34">
        <v>7</v>
      </c>
      <c r="D20" s="34" t="s">
        <v>1145</v>
      </c>
      <c r="E20" s="17" t="s">
        <v>1030</v>
      </c>
      <c r="F20" s="17">
        <v>3</v>
      </c>
      <c r="G20" s="17" t="s">
        <v>1112</v>
      </c>
      <c r="H20" s="17" t="s">
        <v>1110</v>
      </c>
      <c r="J20" s="17">
        <v>0.5</v>
      </c>
      <c r="K20" s="17">
        <v>0.5</v>
      </c>
      <c r="L20" s="17">
        <v>1</v>
      </c>
      <c r="M20" s="35">
        <f>(IF(G20="",挂机玩法规划!$L$2,VLOOKUP(G20,物品id!A:D,4,FALSE)*IF(J20=0,1,4))*IF(J20=0,1,J20)+IF(H20="",挂机玩法规划!$L$2,VLOOKUP(H20,物品id!A:D,4,FALSE)*IF(K20=0,1,4))*IF(K20=0,1,K20)+IF(I20="",挂机玩法规划!$L$2,VLOOKUP(I20,物品id!A:D,4,FALSE)*IF(L20=0,1,4))*IF(L20=0,1,L20))/O20</f>
        <v>0.5625</v>
      </c>
      <c r="N20" s="44">
        <f>IF(G20="",挂机玩法规划!$L$2,VLOOKUP(G20,物品id!A:D,4,FALSE)*4)+IF(H20="",挂机玩法规划!$L$2,VLOOKUP(H20,物品id!A:D,4,FALSE)*4)+IF(I20="",挂机玩法规划!$L$2,VLOOKUP(I20,物品id!A:D,4,FALSE)*4)</f>
        <v>170</v>
      </c>
      <c r="O20" s="44">
        <v>160</v>
      </c>
      <c r="P20" s="17">
        <v>2</v>
      </c>
      <c r="Q20" s="17">
        <v>2</v>
      </c>
      <c r="R20" s="17" t="s">
        <v>1131</v>
      </c>
      <c r="S20" s="17">
        <v>480</v>
      </c>
      <c r="T20" s="17" t="s">
        <v>835</v>
      </c>
      <c r="U20" s="17">
        <v>480</v>
      </c>
      <c r="V20" s="17" t="s">
        <v>1045</v>
      </c>
      <c r="W20" s="17" t="s">
        <v>200</v>
      </c>
      <c r="X20" s="17">
        <v>1</v>
      </c>
      <c r="Y20" s="17">
        <f>U20*挂机玩法规划!$O$4*VLOOKUP(E20,挂机玩法规划!$G$2:$I$17,3,FALSE)</f>
        <v>1920</v>
      </c>
      <c r="Z20" s="17">
        <f t="shared" si="6"/>
        <v>0.5625</v>
      </c>
      <c r="AA20" s="17">
        <f t="shared" si="7"/>
        <v>1080</v>
      </c>
      <c r="AB20" s="17">
        <f>(VLOOKUP(V20,物品id!A:E,5,FALSE)*挂机玩法填表!Z20+VLOOKUP(挂机玩法填表!W20,物品id!A:E,5,FALSE)*挂机玩法填表!AA20)/(U20/60)</f>
        <v>6.1340624999999998</v>
      </c>
      <c r="AD20" s="17" t="str">
        <f>IF(G20="","",VLOOKUP(G20,物品id!$A:$B,2,FALSE)&amp;",")</f>
        <v>1211,</v>
      </c>
      <c r="AE20" s="17" t="str">
        <f>IF(H20="","",VLOOKUP(H20,物品id!$A:$B,2,FALSE)&amp;",")</f>
        <v>2211,</v>
      </c>
      <c r="AF20" s="17" t="str">
        <f>IF(I20="","",VLOOKUP(I20,物品id!$A:$B,2,FALSE)&amp;",")</f>
        <v/>
      </c>
      <c r="AG20" s="17" t="str">
        <f t="shared" si="42"/>
        <v>1211,2211,</v>
      </c>
      <c r="AH20" s="17" t="str">
        <f t="shared" si="43"/>
        <v>[1211,2211]</v>
      </c>
      <c r="AI20" s="17" t="str">
        <f t="shared" si="0"/>
        <v>2,</v>
      </c>
      <c r="AJ20" s="17" t="str">
        <f t="shared" si="1"/>
        <v>2,</v>
      </c>
      <c r="AK20" s="17" t="str">
        <f t="shared" si="2"/>
        <v/>
      </c>
      <c r="AL20" s="17" t="str">
        <f t="shared" si="44"/>
        <v>2,2,</v>
      </c>
      <c r="AM20" s="17" t="str">
        <f t="shared" si="45"/>
        <v>[2,2]</v>
      </c>
      <c r="AN20" s="17" t="str">
        <f>VLOOKUP(T20,物品id!$A:$B,2,FALSE)&amp;","</f>
        <v>102,</v>
      </c>
      <c r="AO20" s="17" t="str">
        <f t="shared" si="8"/>
        <v>[102]</v>
      </c>
      <c r="AP20" s="17" t="str">
        <f t="shared" si="3"/>
        <v>480,</v>
      </c>
      <c r="AQ20" s="17" t="str">
        <f t="shared" si="9"/>
        <v>[480]</v>
      </c>
      <c r="AR20" s="17" t="str">
        <f>IF(V20="","",VLOOKUP(V20,物品id!$A:$B,2,FALSE)&amp;",")</f>
        <v>20034,</v>
      </c>
      <c r="AS20" s="17" t="str">
        <f>IF(W20="","",VLOOKUP(W20,物品id!$A:$B,2,FALSE)&amp;",")</f>
        <v>102,</v>
      </c>
      <c r="AT20" s="17" t="str">
        <f t="shared" si="46"/>
        <v>20034,102,</v>
      </c>
      <c r="AU20" s="17" t="str">
        <f t="shared" si="47"/>
        <v>[20034,102]</v>
      </c>
      <c r="AV20" s="17" t="str">
        <f t="shared" si="4"/>
        <v>1,</v>
      </c>
      <c r="AW20" s="17" t="str">
        <f t="shared" si="5"/>
        <v>1920,</v>
      </c>
      <c r="AX20" s="17" t="str">
        <f t="shared" si="48"/>
        <v>1,1920,</v>
      </c>
      <c r="AY20" s="17" t="str">
        <f t="shared" si="49"/>
        <v>[1,1920]</v>
      </c>
    </row>
    <row r="21" spans="1:51" s="17" customFormat="1" x14ac:dyDescent="0.2">
      <c r="A21" s="17">
        <v>1</v>
      </c>
      <c r="B21" s="34" t="s">
        <v>1025</v>
      </c>
      <c r="C21" s="34">
        <v>7</v>
      </c>
      <c r="D21" s="34" t="s">
        <v>1145</v>
      </c>
      <c r="E21" s="17" t="s">
        <v>1016</v>
      </c>
      <c r="F21" s="17">
        <v>3</v>
      </c>
      <c r="G21" s="17" t="s">
        <v>1110</v>
      </c>
      <c r="H21" s="17" t="s">
        <v>1111</v>
      </c>
      <c r="J21" s="17">
        <v>0.5</v>
      </c>
      <c r="K21" s="17">
        <v>0.5</v>
      </c>
      <c r="L21" s="17">
        <v>1</v>
      </c>
      <c r="M21" s="35">
        <f>(IF(G21="",挂机玩法规划!$L$2,VLOOKUP(G21,物品id!A:D,4,FALSE)*IF(J21=0,1,4))*IF(J21=0,1,J21)+IF(H21="",挂机玩法规划!$L$2,VLOOKUP(H21,物品id!A:D,4,FALSE)*IF(K21=0,1,4))*IF(K21=0,1,K21)+IF(I21="",挂机玩法规划!$L$2,VLOOKUP(I21,物品id!A:D,4,FALSE)*IF(L21=0,1,4))*IF(L21=0,1,L21))/O21</f>
        <v>0.5625</v>
      </c>
      <c r="N21" s="44">
        <f>IF(G21="",挂机玩法规划!$L$2,VLOOKUP(G21,物品id!A:D,4,FALSE)*4)+IF(H21="",挂机玩法规划!$L$2,VLOOKUP(H21,物品id!A:D,4,FALSE)*4)+IF(I21="",挂机玩法规划!$L$2,VLOOKUP(I21,物品id!A:D,4,FALSE)*4)</f>
        <v>170</v>
      </c>
      <c r="O21" s="44">
        <v>160</v>
      </c>
      <c r="P21" s="17">
        <v>2</v>
      </c>
      <c r="Q21" s="17">
        <v>2</v>
      </c>
      <c r="R21" s="17" t="s">
        <v>1131</v>
      </c>
      <c r="S21" s="17">
        <v>480</v>
      </c>
      <c r="T21" s="17" t="s">
        <v>835</v>
      </c>
      <c r="U21" s="17">
        <v>480</v>
      </c>
      <c r="V21" s="17" t="s">
        <v>1045</v>
      </c>
      <c r="W21" s="17" t="s">
        <v>200</v>
      </c>
      <c r="X21" s="17">
        <v>1</v>
      </c>
      <c r="Y21" s="17">
        <f>U21*挂机玩法规划!$O$4*VLOOKUP(E21,挂机玩法规划!$G$2:$I$17,3,FALSE)</f>
        <v>1920</v>
      </c>
      <c r="Z21" s="17">
        <f t="shared" si="6"/>
        <v>0.5625</v>
      </c>
      <c r="AA21" s="17">
        <f t="shared" si="7"/>
        <v>1080</v>
      </c>
      <c r="AB21" s="17">
        <f>(VLOOKUP(V21,物品id!A:E,5,FALSE)*挂机玩法填表!Z21+VLOOKUP(挂机玩法填表!W21,物品id!A:E,5,FALSE)*挂机玩法填表!AA21)/(U21/60)</f>
        <v>6.1340624999999998</v>
      </c>
      <c r="AD21" s="17" t="str">
        <f>IF(G21="","",VLOOKUP(G21,物品id!$A:$B,2,FALSE)&amp;",")</f>
        <v>2211,</v>
      </c>
      <c r="AE21" s="17" t="str">
        <f>IF(H21="","",VLOOKUP(H21,物品id!$A:$B,2,FALSE)&amp;",")</f>
        <v>3211,</v>
      </c>
      <c r="AF21" s="17" t="str">
        <f>IF(I21="","",VLOOKUP(I21,物品id!$A:$B,2,FALSE)&amp;",")</f>
        <v/>
      </c>
      <c r="AG21" s="17" t="str">
        <f t="shared" ref="AG21:AG22" si="66">AD21&amp;AE21&amp;AF21</f>
        <v>2211,3211,</v>
      </c>
      <c r="AH21" s="17" t="str">
        <f t="shared" ref="AH21:AH22" si="67">"["&amp;LEFT(AG21,LEN(AG21)-1)&amp;"]"</f>
        <v>[2211,3211]</v>
      </c>
      <c r="AI21" s="17" t="str">
        <f t="shared" si="0"/>
        <v>2,</v>
      </c>
      <c r="AJ21" s="17" t="str">
        <f t="shared" si="1"/>
        <v>2,</v>
      </c>
      <c r="AK21" s="17" t="str">
        <f t="shared" si="2"/>
        <v/>
      </c>
      <c r="AL21" s="17" t="str">
        <f t="shared" ref="AL21:AL22" si="68">AI21&amp;AJ21&amp;AK21</f>
        <v>2,2,</v>
      </c>
      <c r="AM21" s="17" t="str">
        <f t="shared" ref="AM21:AM22" si="69">"["&amp;LEFT(AL21,LEN(AL21)-1)&amp;"]"</f>
        <v>[2,2]</v>
      </c>
      <c r="AN21" s="17" t="str">
        <f>VLOOKUP(T21,物品id!$A:$B,2,FALSE)&amp;","</f>
        <v>102,</v>
      </c>
      <c r="AO21" s="17" t="str">
        <f t="shared" si="8"/>
        <v>[102]</v>
      </c>
      <c r="AP21" s="17" t="str">
        <f t="shared" si="3"/>
        <v>480,</v>
      </c>
      <c r="AQ21" s="17" t="str">
        <f t="shared" si="9"/>
        <v>[480]</v>
      </c>
      <c r="AR21" s="17" t="str">
        <f>IF(V21="","",VLOOKUP(V21,物品id!$A:$B,2,FALSE)&amp;",")</f>
        <v>20034,</v>
      </c>
      <c r="AS21" s="17" t="str">
        <f>IF(W21="","",VLOOKUP(W21,物品id!$A:$B,2,FALSE)&amp;",")</f>
        <v>102,</v>
      </c>
      <c r="AT21" s="17" t="str">
        <f t="shared" ref="AT21:AT22" si="70">AR21&amp;AS21</f>
        <v>20034,102,</v>
      </c>
      <c r="AU21" s="17" t="str">
        <f t="shared" ref="AU21:AU22" si="71">"["&amp;LEFT(AT21,LEN(AT21)-1)&amp;"]"</f>
        <v>[20034,102]</v>
      </c>
      <c r="AV21" s="17" t="str">
        <f t="shared" si="4"/>
        <v>1,</v>
      </c>
      <c r="AW21" s="17" t="str">
        <f t="shared" si="5"/>
        <v>1920,</v>
      </c>
      <c r="AX21" s="17" t="str">
        <f t="shared" ref="AX21:AX22" si="72">AV21&amp;AW21</f>
        <v>1,1920,</v>
      </c>
      <c r="AY21" s="17" t="str">
        <f t="shared" ref="AY21:AY22" si="73">"["&amp;LEFT(AX21,LEN(AX21)-1)&amp;"]"</f>
        <v>[1,1920]</v>
      </c>
    </row>
    <row r="22" spans="1:51" s="17" customFormat="1" x14ac:dyDescent="0.2">
      <c r="A22" s="17">
        <v>1</v>
      </c>
      <c r="B22" s="34" t="s">
        <v>1025</v>
      </c>
      <c r="C22" s="34">
        <v>7</v>
      </c>
      <c r="D22" s="34" t="s">
        <v>1145</v>
      </c>
      <c r="E22" s="17" t="s">
        <v>1016</v>
      </c>
      <c r="F22" s="17">
        <v>3</v>
      </c>
      <c r="G22" s="17" t="s">
        <v>1111</v>
      </c>
      <c r="H22" s="17" t="s">
        <v>1112</v>
      </c>
      <c r="J22" s="17">
        <v>0.5</v>
      </c>
      <c r="K22" s="17">
        <v>0.5</v>
      </c>
      <c r="L22" s="17">
        <v>1</v>
      </c>
      <c r="M22" s="35">
        <f>(IF(G22="",挂机玩法规划!$L$2,VLOOKUP(G22,物品id!A:D,4,FALSE)*IF(J22=0,1,4))*IF(J22=0,1,J22)+IF(H22="",挂机玩法规划!$L$2,VLOOKUP(H22,物品id!A:D,4,FALSE)*IF(K22=0,1,4))*IF(K22=0,1,K22)+IF(I22="",挂机玩法规划!$L$2,VLOOKUP(I22,物品id!A:D,4,FALSE)*IF(L22=0,1,4))*IF(L22=0,1,L22))/O22</f>
        <v>0.5625</v>
      </c>
      <c r="N22" s="44">
        <f>IF(G22="",挂机玩法规划!$L$2,VLOOKUP(G22,物品id!A:D,4,FALSE)*4)+IF(H22="",挂机玩法规划!$L$2,VLOOKUP(H22,物品id!A:D,4,FALSE)*4)+IF(I22="",挂机玩法规划!$L$2,VLOOKUP(I22,物品id!A:D,4,FALSE)*4)</f>
        <v>170</v>
      </c>
      <c r="O22" s="44">
        <v>160</v>
      </c>
      <c r="P22" s="17">
        <v>2</v>
      </c>
      <c r="Q22" s="17">
        <v>2</v>
      </c>
      <c r="R22" s="17" t="s">
        <v>1131</v>
      </c>
      <c r="S22" s="17">
        <v>480</v>
      </c>
      <c r="T22" s="17" t="s">
        <v>835</v>
      </c>
      <c r="U22" s="17">
        <v>480</v>
      </c>
      <c r="V22" s="17" t="s">
        <v>1045</v>
      </c>
      <c r="W22" s="17" t="s">
        <v>200</v>
      </c>
      <c r="X22" s="17">
        <v>1</v>
      </c>
      <c r="Y22" s="17">
        <f>U22*挂机玩法规划!$O$4*VLOOKUP(E22,挂机玩法规划!$G$2:$I$17,3,FALSE)</f>
        <v>1920</v>
      </c>
      <c r="Z22" s="17">
        <f t="shared" si="6"/>
        <v>0.5625</v>
      </c>
      <c r="AA22" s="17">
        <f t="shared" si="7"/>
        <v>1080</v>
      </c>
      <c r="AB22" s="17">
        <f>(VLOOKUP(V22,物品id!A:E,5,FALSE)*挂机玩法填表!Z22+VLOOKUP(挂机玩法填表!W22,物品id!A:E,5,FALSE)*挂机玩法填表!AA22)/(U22/60)</f>
        <v>6.1340624999999998</v>
      </c>
      <c r="AD22" s="17" t="str">
        <f>IF(G22="","",VLOOKUP(G22,物品id!$A:$B,2,FALSE)&amp;",")</f>
        <v>3211,</v>
      </c>
      <c r="AE22" s="17" t="str">
        <f>IF(H22="","",VLOOKUP(H22,物品id!$A:$B,2,FALSE)&amp;",")</f>
        <v>1211,</v>
      </c>
      <c r="AF22" s="17" t="str">
        <f>IF(I22="","",VLOOKUP(I22,物品id!$A:$B,2,FALSE)&amp;",")</f>
        <v/>
      </c>
      <c r="AG22" s="17" t="str">
        <f t="shared" si="66"/>
        <v>3211,1211,</v>
      </c>
      <c r="AH22" s="17" t="str">
        <f t="shared" si="67"/>
        <v>[3211,1211]</v>
      </c>
      <c r="AI22" s="17" t="str">
        <f t="shared" si="0"/>
        <v>2,</v>
      </c>
      <c r="AJ22" s="17" t="str">
        <f t="shared" si="1"/>
        <v>2,</v>
      </c>
      <c r="AK22" s="17" t="str">
        <f t="shared" si="2"/>
        <v/>
      </c>
      <c r="AL22" s="17" t="str">
        <f t="shared" si="68"/>
        <v>2,2,</v>
      </c>
      <c r="AM22" s="17" t="str">
        <f t="shared" si="69"/>
        <v>[2,2]</v>
      </c>
      <c r="AN22" s="17" t="str">
        <f>VLOOKUP(T22,物品id!$A:$B,2,FALSE)&amp;","</f>
        <v>102,</v>
      </c>
      <c r="AO22" s="17" t="str">
        <f t="shared" si="8"/>
        <v>[102]</v>
      </c>
      <c r="AP22" s="17" t="str">
        <f t="shared" si="3"/>
        <v>480,</v>
      </c>
      <c r="AQ22" s="17" t="str">
        <f t="shared" si="9"/>
        <v>[480]</v>
      </c>
      <c r="AR22" s="17" t="str">
        <f>IF(V22="","",VLOOKUP(V22,物品id!$A:$B,2,FALSE)&amp;",")</f>
        <v>20034,</v>
      </c>
      <c r="AS22" s="17" t="str">
        <f>IF(W22="","",VLOOKUP(W22,物品id!$A:$B,2,FALSE)&amp;",")</f>
        <v>102,</v>
      </c>
      <c r="AT22" s="17" t="str">
        <f t="shared" si="70"/>
        <v>20034,102,</v>
      </c>
      <c r="AU22" s="17" t="str">
        <f t="shared" si="71"/>
        <v>[20034,102]</v>
      </c>
      <c r="AV22" s="17" t="str">
        <f t="shared" si="4"/>
        <v>1,</v>
      </c>
      <c r="AW22" s="17" t="str">
        <f t="shared" si="5"/>
        <v>1920,</v>
      </c>
      <c r="AX22" s="17" t="str">
        <f t="shared" si="72"/>
        <v>1,1920,</v>
      </c>
      <c r="AY22" s="17" t="str">
        <f t="shared" si="73"/>
        <v>[1,1920]</v>
      </c>
    </row>
    <row r="23" spans="1:51" s="17" customFormat="1" x14ac:dyDescent="0.2">
      <c r="A23" s="17">
        <v>1</v>
      </c>
      <c r="B23" s="34" t="s">
        <v>1025</v>
      </c>
      <c r="C23" s="34">
        <v>8</v>
      </c>
      <c r="D23" s="34" t="s">
        <v>1146</v>
      </c>
      <c r="E23" s="17" t="s">
        <v>1030</v>
      </c>
      <c r="F23" s="17">
        <v>3</v>
      </c>
      <c r="G23" s="17" t="s">
        <v>804</v>
      </c>
      <c r="H23" s="17" t="s">
        <v>815</v>
      </c>
      <c r="I23" s="17" t="s">
        <v>1111</v>
      </c>
      <c r="J23" s="17">
        <v>0.5</v>
      </c>
      <c r="K23" s="17">
        <v>0.5</v>
      </c>
      <c r="L23" s="17">
        <v>1</v>
      </c>
      <c r="M23" s="35">
        <f>(IF(G23="",挂机玩法规划!$L$2,VLOOKUP(G23,物品id!A:D,4,FALSE)*IF(J23=0,1,4))*IF(J23=0,1,J23)+IF(H23="",挂机玩法规划!$L$2,VLOOKUP(H23,物品id!A:D,4,FALSE)*IF(K23=0,1,4))*IF(K23=0,1,K23)+IF(I23="",挂机玩法规划!$L$2,VLOOKUP(I23,物品id!A:D,4,FALSE)*IF(L23=0,1,4))*IF(L23=0,1,L23))/O23</f>
        <v>0.66666666666666663</v>
      </c>
      <c r="N23" s="44">
        <f>IF(G23="",挂机玩法规划!$L$2,VLOOKUP(G23,物品id!A:D,4,FALSE)*4)+IF(H23="",挂机玩法规划!$L$2,VLOOKUP(H23,物品id!A:D,4,FALSE)*4)+IF(I23="",挂机玩法规划!$L$2,VLOOKUP(I23,物品id!A:D,4,FALSE)*4)</f>
        <v>240</v>
      </c>
      <c r="O23" s="44">
        <v>240</v>
      </c>
      <c r="P23" s="17">
        <v>2</v>
      </c>
      <c r="Q23" s="17">
        <v>2</v>
      </c>
      <c r="R23" s="17">
        <v>2</v>
      </c>
      <c r="S23" s="17">
        <v>720</v>
      </c>
      <c r="T23" s="17" t="s">
        <v>835</v>
      </c>
      <c r="U23" s="17">
        <v>720</v>
      </c>
      <c r="V23" s="17" t="s">
        <v>1045</v>
      </c>
      <c r="W23" s="17" t="s">
        <v>200</v>
      </c>
      <c r="X23" s="17">
        <v>2</v>
      </c>
      <c r="Y23" s="17">
        <f>U23*挂机玩法规划!$O$4*VLOOKUP(E23,挂机玩法规划!$G$2:$I$17,3,FALSE)</f>
        <v>2880</v>
      </c>
      <c r="Z23" s="17">
        <f t="shared" si="6"/>
        <v>1.3333333333333333</v>
      </c>
      <c r="AA23" s="17">
        <f t="shared" si="7"/>
        <v>1920</v>
      </c>
      <c r="AB23" s="17">
        <f>(VLOOKUP(V23,物品id!A:E,5,FALSE)*挂机玩法填表!Z23+VLOOKUP(挂机玩法填表!W23,物品id!A:E,5,FALSE)*挂机玩法填表!AA23)/(U23/60)</f>
        <v>8.52</v>
      </c>
      <c r="AD23" s="17" t="str">
        <f>IF(G23="","",VLOOKUP(G23,物品id!$A:$B,2,FALSE)&amp;",")</f>
        <v>1211,</v>
      </c>
      <c r="AE23" s="17" t="str">
        <f>IF(H23="","",VLOOKUP(H23,物品id!$A:$B,2,FALSE)&amp;",")</f>
        <v>2211,</v>
      </c>
      <c r="AF23" s="17" t="str">
        <f>IF(I23="","",VLOOKUP(I23,物品id!$A:$B,2,FALSE)&amp;",")</f>
        <v>3211,</v>
      </c>
      <c r="AG23" s="17" t="str">
        <f t="shared" si="42"/>
        <v>1211,2211,3211,</v>
      </c>
      <c r="AH23" s="17" t="str">
        <f t="shared" si="43"/>
        <v>[1211,2211,3211]</v>
      </c>
      <c r="AI23" s="17" t="str">
        <f t="shared" si="0"/>
        <v>2,</v>
      </c>
      <c r="AJ23" s="17" t="str">
        <f t="shared" si="1"/>
        <v>2,</v>
      </c>
      <c r="AK23" s="17" t="str">
        <f t="shared" si="2"/>
        <v>2,</v>
      </c>
      <c r="AL23" s="17" t="str">
        <f t="shared" si="44"/>
        <v>2,2,2,</v>
      </c>
      <c r="AM23" s="17" t="str">
        <f t="shared" si="45"/>
        <v>[2,2,2]</v>
      </c>
      <c r="AN23" s="17" t="str">
        <f>VLOOKUP(T23,物品id!$A:$B,2,FALSE)&amp;","</f>
        <v>102,</v>
      </c>
      <c r="AO23" s="17" t="str">
        <f t="shared" si="8"/>
        <v>[102]</v>
      </c>
      <c r="AP23" s="17" t="str">
        <f t="shared" si="3"/>
        <v>720,</v>
      </c>
      <c r="AQ23" s="17" t="str">
        <f t="shared" si="9"/>
        <v>[720]</v>
      </c>
      <c r="AR23" s="17" t="str">
        <f>IF(V23="","",VLOOKUP(V23,物品id!$A:$B,2,FALSE)&amp;",")</f>
        <v>20034,</v>
      </c>
      <c r="AS23" s="17" t="str">
        <f>IF(W23="","",VLOOKUP(W23,物品id!$A:$B,2,FALSE)&amp;",")</f>
        <v>102,</v>
      </c>
      <c r="AT23" s="17" t="str">
        <f t="shared" si="46"/>
        <v>20034,102,</v>
      </c>
      <c r="AU23" s="17" t="str">
        <f t="shared" si="47"/>
        <v>[20034,102]</v>
      </c>
      <c r="AV23" s="17" t="str">
        <f t="shared" si="4"/>
        <v>2,</v>
      </c>
      <c r="AW23" s="17" t="str">
        <f t="shared" si="5"/>
        <v>2880,</v>
      </c>
      <c r="AX23" s="17" t="str">
        <f t="shared" si="48"/>
        <v>2,2880,</v>
      </c>
      <c r="AY23" s="17" t="str">
        <f t="shared" si="49"/>
        <v>[2,2880]</v>
      </c>
    </row>
    <row r="24" spans="1:51" s="36" customFormat="1" x14ac:dyDescent="0.2">
      <c r="A24" s="36">
        <v>1</v>
      </c>
      <c r="B24" s="36" t="s">
        <v>1038</v>
      </c>
      <c r="C24" s="36">
        <v>9</v>
      </c>
      <c r="D24" s="34" t="s">
        <v>1147</v>
      </c>
      <c r="E24" s="36" t="s">
        <v>135</v>
      </c>
      <c r="F24" s="36">
        <v>3</v>
      </c>
      <c r="G24" s="36" t="s">
        <v>1114</v>
      </c>
      <c r="H24" s="36" t="s">
        <v>824</v>
      </c>
      <c r="J24" s="17">
        <v>0.8</v>
      </c>
      <c r="K24" s="17">
        <v>0.8</v>
      </c>
      <c r="L24" s="17">
        <v>1</v>
      </c>
      <c r="M24" s="35">
        <f>(IF(G24="",挂机玩法规划!$L$2,VLOOKUP(G24,物品id!A:D,4,FALSE)*IF(J24=0,1,4))*IF(J24=0,1,J24)+IF(H24="",挂机玩法规划!$L$2,VLOOKUP(H24,物品id!A:D,4,FALSE)*IF(K24=0,1,4))*IF(K24=0,1,K24)+IF(I24="",挂机玩法规划!$L$2,VLOOKUP(I24,物品id!A:D,4,FALSE)*IF(L24=0,1,4))*IF(L24=0,1,L24))/O24</f>
        <v>0.92500000000000004</v>
      </c>
      <c r="N24" s="44">
        <f>IF(G24="",挂机玩法规划!$L$2,VLOOKUP(G24,物品id!A:D,4,FALSE)*4)+IF(H24="",挂机玩法规划!$L$2,VLOOKUP(H24,物品id!A:D,4,FALSE)*4)+IF(I24="",挂机玩法规划!$L$2,VLOOKUP(I24,物品id!A:D,4,FALSE)*4)</f>
        <v>90</v>
      </c>
      <c r="O24" s="45">
        <v>80</v>
      </c>
      <c r="P24" s="36">
        <v>3</v>
      </c>
      <c r="Q24" s="36">
        <v>3</v>
      </c>
      <c r="R24" s="36" t="s">
        <v>1131</v>
      </c>
      <c r="S24" s="36">
        <v>120</v>
      </c>
      <c r="T24" s="36" t="s">
        <v>835</v>
      </c>
      <c r="U24" s="36">
        <v>120</v>
      </c>
      <c r="V24" s="36" t="s">
        <v>842</v>
      </c>
      <c r="W24" s="36" t="s">
        <v>200</v>
      </c>
      <c r="X24" s="36">
        <v>1</v>
      </c>
      <c r="Y24" s="36">
        <f>U24*挂机玩法规划!$O$4*VLOOKUP(E24,挂机玩法规划!$G$2:$I$17,3,FALSE)</f>
        <v>240</v>
      </c>
      <c r="Z24" s="17">
        <f t="shared" si="6"/>
        <v>0.92500000000000004</v>
      </c>
      <c r="AA24" s="17">
        <f t="shared" si="7"/>
        <v>222</v>
      </c>
      <c r="AB24" s="17">
        <f>(VLOOKUP(V24,物品id!A:E,5,FALSE)*挂机玩法填表!Z24+VLOOKUP(挂机玩法填表!W24,物品id!A:E,5,FALSE)*挂机玩法填表!AA24)/(U24/60)</f>
        <v>25.567</v>
      </c>
      <c r="AD24" s="17" t="str">
        <f>IF(G24="","",VLOOKUP(G24,物品id!$A:$B,2,FALSE)&amp;",")</f>
        <v>2111,</v>
      </c>
      <c r="AE24" s="17" t="str">
        <f>IF(H24="","",VLOOKUP(H24,物品id!$A:$B,2,FALSE)&amp;",")</f>
        <v>3111,</v>
      </c>
      <c r="AF24" s="17" t="str">
        <f>IF(I24="","",VLOOKUP(I24,物品id!$A:$B,2,FALSE)&amp;",")</f>
        <v/>
      </c>
      <c r="AG24" s="36" t="str">
        <f t="shared" si="42"/>
        <v>2111,3111,</v>
      </c>
      <c r="AH24" s="36" t="str">
        <f t="shared" si="43"/>
        <v>[2111,3111]</v>
      </c>
      <c r="AI24" s="17" t="str">
        <f t="shared" si="0"/>
        <v>3,</v>
      </c>
      <c r="AJ24" s="17" t="str">
        <f t="shared" si="1"/>
        <v>3,</v>
      </c>
      <c r="AK24" s="17" t="str">
        <f t="shared" si="2"/>
        <v/>
      </c>
      <c r="AL24" s="36" t="str">
        <f t="shared" si="44"/>
        <v>3,3,</v>
      </c>
      <c r="AM24" s="36" t="str">
        <f t="shared" si="45"/>
        <v>[3,3]</v>
      </c>
      <c r="AN24" s="36" t="str">
        <f>VLOOKUP(T24,物品id!$A:$B,2,FALSE)&amp;","</f>
        <v>102,</v>
      </c>
      <c r="AO24" s="17" t="str">
        <f t="shared" si="8"/>
        <v>[102]</v>
      </c>
      <c r="AP24" s="36" t="str">
        <f t="shared" si="3"/>
        <v>120,</v>
      </c>
      <c r="AQ24" s="17" t="str">
        <f t="shared" si="9"/>
        <v>[120]</v>
      </c>
      <c r="AR24" s="36" t="str">
        <f>IF(V24="","",VLOOKUP(V24,物品id!$A:$B,2,FALSE)&amp;",")</f>
        <v>20038,</v>
      </c>
      <c r="AS24" s="36" t="str">
        <f>IF(W24="","",VLOOKUP(W24,物品id!$A:$B,2,FALSE)&amp;",")</f>
        <v>102,</v>
      </c>
      <c r="AT24" s="36" t="str">
        <f t="shared" si="46"/>
        <v>20038,102,</v>
      </c>
      <c r="AU24" s="36" t="str">
        <f t="shared" si="47"/>
        <v>[20038,102]</v>
      </c>
      <c r="AV24" s="36" t="str">
        <f t="shared" si="4"/>
        <v>1,</v>
      </c>
      <c r="AW24" s="36" t="str">
        <f t="shared" si="5"/>
        <v>240,</v>
      </c>
      <c r="AX24" s="36" t="str">
        <f t="shared" si="48"/>
        <v>1,240,</v>
      </c>
      <c r="AY24" s="36" t="str">
        <f t="shared" si="49"/>
        <v>[1,240]</v>
      </c>
    </row>
    <row r="25" spans="1:51" s="36" customFormat="1" x14ac:dyDescent="0.2">
      <c r="A25" s="36">
        <v>1</v>
      </c>
      <c r="B25" s="36" t="s">
        <v>1038</v>
      </c>
      <c r="C25" s="36">
        <v>9</v>
      </c>
      <c r="D25" s="34" t="s">
        <v>1147</v>
      </c>
      <c r="E25" s="36" t="s">
        <v>135</v>
      </c>
      <c r="F25" s="36">
        <v>3</v>
      </c>
      <c r="G25" s="36" t="s">
        <v>1113</v>
      </c>
      <c r="H25" s="36" t="s">
        <v>1115</v>
      </c>
      <c r="J25" s="17">
        <v>0.8</v>
      </c>
      <c r="K25" s="17">
        <v>0.8</v>
      </c>
      <c r="L25" s="17">
        <v>1</v>
      </c>
      <c r="M25" s="35">
        <f>(IF(G25="",挂机玩法规划!$L$2,VLOOKUP(G25,物品id!A:D,4,FALSE)*IF(J25=0,1,4))*IF(J25=0,1,J25)+IF(H25="",挂机玩法规划!$L$2,VLOOKUP(H25,物品id!A:D,4,FALSE)*IF(K25=0,1,4))*IF(K25=0,1,K25)+IF(I25="",挂机玩法规划!$L$2,VLOOKUP(I25,物品id!A:D,4,FALSE)*IF(L25=0,1,4))*IF(L25=0,1,L25))/O25</f>
        <v>0.92500000000000004</v>
      </c>
      <c r="N25" s="44">
        <f>IF(G25="",挂机玩法规划!$L$2,VLOOKUP(G25,物品id!A:D,4,FALSE)*4)+IF(H25="",挂机玩法规划!$L$2,VLOOKUP(H25,物品id!A:D,4,FALSE)*4)+IF(I25="",挂机玩法规划!$L$2,VLOOKUP(I25,物品id!A:D,4,FALSE)*4)</f>
        <v>90</v>
      </c>
      <c r="O25" s="45">
        <v>80</v>
      </c>
      <c r="P25" s="36">
        <v>3</v>
      </c>
      <c r="Q25" s="36">
        <v>3</v>
      </c>
      <c r="R25" s="36" t="s">
        <v>1131</v>
      </c>
      <c r="S25" s="36">
        <v>120</v>
      </c>
      <c r="T25" s="36" t="s">
        <v>835</v>
      </c>
      <c r="U25" s="36">
        <v>120</v>
      </c>
      <c r="V25" s="36" t="s">
        <v>842</v>
      </c>
      <c r="W25" s="36" t="s">
        <v>200</v>
      </c>
      <c r="X25" s="36">
        <v>1</v>
      </c>
      <c r="Y25" s="36">
        <f>U25*挂机玩法规划!$O$4*VLOOKUP(E25,挂机玩法规划!$G$2:$I$17,3,FALSE)</f>
        <v>240</v>
      </c>
      <c r="Z25" s="17">
        <f t="shared" si="6"/>
        <v>0.92500000000000004</v>
      </c>
      <c r="AA25" s="17">
        <f t="shared" si="7"/>
        <v>222</v>
      </c>
      <c r="AB25" s="17">
        <f>(VLOOKUP(V25,物品id!A:E,5,FALSE)*挂机玩法填表!Z25+VLOOKUP(挂机玩法填表!W25,物品id!A:E,5,FALSE)*挂机玩法填表!AA25)/(U25/60)</f>
        <v>25.567</v>
      </c>
      <c r="AD25" s="17" t="str">
        <f>IF(G25="","",VLOOKUP(G25,物品id!$A:$B,2,FALSE)&amp;",")</f>
        <v>1111,</v>
      </c>
      <c r="AE25" s="17" t="str">
        <f>IF(H25="","",VLOOKUP(H25,物品id!$A:$B,2,FALSE)&amp;",")</f>
        <v>3111,</v>
      </c>
      <c r="AF25" s="17" t="str">
        <f>IF(I25="","",VLOOKUP(I25,物品id!$A:$B,2,FALSE)&amp;",")</f>
        <v/>
      </c>
      <c r="AG25" s="36" t="str">
        <f t="shared" ref="AG25:AG26" si="74">AD25&amp;AE25&amp;AF25</f>
        <v>1111,3111,</v>
      </c>
      <c r="AH25" s="36" t="str">
        <f t="shared" ref="AH25:AH26" si="75">"["&amp;LEFT(AG25,LEN(AG25)-1)&amp;"]"</f>
        <v>[1111,3111]</v>
      </c>
      <c r="AI25" s="17" t="str">
        <f t="shared" si="0"/>
        <v>3,</v>
      </c>
      <c r="AJ25" s="17" t="str">
        <f t="shared" si="1"/>
        <v>3,</v>
      </c>
      <c r="AK25" s="17" t="str">
        <f t="shared" si="2"/>
        <v/>
      </c>
      <c r="AL25" s="36" t="str">
        <f t="shared" ref="AL25:AL26" si="76">AI25&amp;AJ25&amp;AK25</f>
        <v>3,3,</v>
      </c>
      <c r="AM25" s="36" t="str">
        <f t="shared" ref="AM25:AM26" si="77">"["&amp;LEFT(AL25,LEN(AL25)-1)&amp;"]"</f>
        <v>[3,3]</v>
      </c>
      <c r="AN25" s="36" t="str">
        <f>VLOOKUP(T25,物品id!$A:$B,2,FALSE)&amp;","</f>
        <v>102,</v>
      </c>
      <c r="AO25" s="17" t="str">
        <f t="shared" si="8"/>
        <v>[102]</v>
      </c>
      <c r="AP25" s="36" t="str">
        <f t="shared" si="3"/>
        <v>120,</v>
      </c>
      <c r="AQ25" s="17" t="str">
        <f t="shared" si="9"/>
        <v>[120]</v>
      </c>
      <c r="AR25" s="36" t="str">
        <f>IF(V25="","",VLOOKUP(V25,物品id!$A:$B,2,FALSE)&amp;",")</f>
        <v>20038,</v>
      </c>
      <c r="AS25" s="36" t="str">
        <f>IF(W25="","",VLOOKUP(W25,物品id!$A:$B,2,FALSE)&amp;",")</f>
        <v>102,</v>
      </c>
      <c r="AT25" s="36" t="str">
        <f t="shared" ref="AT25:AT26" si="78">AR25&amp;AS25</f>
        <v>20038,102,</v>
      </c>
      <c r="AU25" s="36" t="str">
        <f t="shared" ref="AU25:AU26" si="79">"["&amp;LEFT(AT25,LEN(AT25)-1)&amp;"]"</f>
        <v>[20038,102]</v>
      </c>
      <c r="AV25" s="36" t="str">
        <f t="shared" si="4"/>
        <v>1,</v>
      </c>
      <c r="AW25" s="36" t="str">
        <f t="shared" si="5"/>
        <v>240,</v>
      </c>
      <c r="AX25" s="36" t="str">
        <f t="shared" ref="AX25:AX26" si="80">AV25&amp;AW25</f>
        <v>1,240,</v>
      </c>
      <c r="AY25" s="36" t="str">
        <f t="shared" ref="AY25:AY26" si="81">"["&amp;LEFT(AX25,LEN(AX25)-1)&amp;"]"</f>
        <v>[1,240]</v>
      </c>
    </row>
    <row r="26" spans="1:51" s="36" customFormat="1" x14ac:dyDescent="0.2">
      <c r="A26" s="36">
        <v>1</v>
      </c>
      <c r="B26" s="36" t="s">
        <v>1038</v>
      </c>
      <c r="C26" s="36">
        <v>9</v>
      </c>
      <c r="D26" s="34" t="s">
        <v>1147</v>
      </c>
      <c r="E26" s="36" t="s">
        <v>135</v>
      </c>
      <c r="F26" s="36">
        <v>3</v>
      </c>
      <c r="G26" s="36" t="s">
        <v>803</v>
      </c>
      <c r="H26" s="36" t="s">
        <v>814</v>
      </c>
      <c r="J26" s="17">
        <v>0.8</v>
      </c>
      <c r="K26" s="17">
        <v>0.8</v>
      </c>
      <c r="L26" s="17">
        <v>1</v>
      </c>
      <c r="M26" s="35">
        <f>(IF(G26="",挂机玩法规划!$L$2,VLOOKUP(G26,物品id!A:D,4,FALSE)*IF(J26=0,1,4))*IF(J26=0,1,J26)+IF(H26="",挂机玩法规划!$L$2,VLOOKUP(H26,物品id!A:D,4,FALSE)*IF(K26=0,1,4))*IF(K26=0,1,K26)+IF(I26="",挂机玩法规划!$L$2,VLOOKUP(I26,物品id!A:D,4,FALSE)*IF(L26=0,1,4))*IF(L26=0,1,L26))/O26</f>
        <v>0.92500000000000004</v>
      </c>
      <c r="N26" s="44">
        <f>IF(G26="",挂机玩法规划!$L$2,VLOOKUP(G26,物品id!A:D,4,FALSE)*4)+IF(H26="",挂机玩法规划!$L$2,VLOOKUP(H26,物品id!A:D,4,FALSE)*4)+IF(I26="",挂机玩法规划!$L$2,VLOOKUP(I26,物品id!A:D,4,FALSE)*4)</f>
        <v>90</v>
      </c>
      <c r="O26" s="45">
        <v>80</v>
      </c>
      <c r="P26" s="36">
        <v>3</v>
      </c>
      <c r="Q26" s="36">
        <v>3</v>
      </c>
      <c r="R26" s="36" t="s">
        <v>1131</v>
      </c>
      <c r="S26" s="36">
        <v>120</v>
      </c>
      <c r="T26" s="36" t="s">
        <v>835</v>
      </c>
      <c r="U26" s="36">
        <v>120</v>
      </c>
      <c r="V26" s="36" t="s">
        <v>842</v>
      </c>
      <c r="W26" s="36" t="s">
        <v>200</v>
      </c>
      <c r="X26" s="36">
        <v>1</v>
      </c>
      <c r="Y26" s="36">
        <f>U26*挂机玩法规划!$O$4*VLOOKUP(E26,挂机玩法规划!$G$2:$I$17,3,FALSE)</f>
        <v>240</v>
      </c>
      <c r="Z26" s="17">
        <f t="shared" si="6"/>
        <v>0.92500000000000004</v>
      </c>
      <c r="AA26" s="17">
        <f t="shared" si="7"/>
        <v>222</v>
      </c>
      <c r="AB26" s="17">
        <f>(VLOOKUP(V26,物品id!A:E,5,FALSE)*挂机玩法填表!Z26+VLOOKUP(挂机玩法填表!W26,物品id!A:E,5,FALSE)*挂机玩法填表!AA26)/(U26/60)</f>
        <v>25.567</v>
      </c>
      <c r="AD26" s="17" t="str">
        <f>IF(G26="","",VLOOKUP(G26,物品id!$A:$B,2,FALSE)&amp;",")</f>
        <v>1111,</v>
      </c>
      <c r="AE26" s="17" t="str">
        <f>IF(H26="","",VLOOKUP(H26,物品id!$A:$B,2,FALSE)&amp;",")</f>
        <v>2111,</v>
      </c>
      <c r="AF26" s="17" t="str">
        <f>IF(I26="","",VLOOKUP(I26,物品id!$A:$B,2,FALSE)&amp;",")</f>
        <v/>
      </c>
      <c r="AG26" s="36" t="str">
        <f t="shared" si="74"/>
        <v>1111,2111,</v>
      </c>
      <c r="AH26" s="36" t="str">
        <f t="shared" si="75"/>
        <v>[1111,2111]</v>
      </c>
      <c r="AI26" s="17" t="str">
        <f t="shared" si="0"/>
        <v>3,</v>
      </c>
      <c r="AJ26" s="17" t="str">
        <f t="shared" si="1"/>
        <v>3,</v>
      </c>
      <c r="AK26" s="17" t="str">
        <f t="shared" si="2"/>
        <v/>
      </c>
      <c r="AL26" s="36" t="str">
        <f t="shared" si="76"/>
        <v>3,3,</v>
      </c>
      <c r="AM26" s="36" t="str">
        <f t="shared" si="77"/>
        <v>[3,3]</v>
      </c>
      <c r="AN26" s="36" t="str">
        <f>VLOOKUP(T26,物品id!$A:$B,2,FALSE)&amp;","</f>
        <v>102,</v>
      </c>
      <c r="AO26" s="17" t="str">
        <f t="shared" si="8"/>
        <v>[102]</v>
      </c>
      <c r="AP26" s="36" t="str">
        <f t="shared" si="3"/>
        <v>120,</v>
      </c>
      <c r="AQ26" s="17" t="str">
        <f t="shared" si="9"/>
        <v>[120]</v>
      </c>
      <c r="AR26" s="36" t="str">
        <f>IF(V26="","",VLOOKUP(V26,物品id!$A:$B,2,FALSE)&amp;",")</f>
        <v>20038,</v>
      </c>
      <c r="AS26" s="36" t="str">
        <f>IF(W26="","",VLOOKUP(W26,物品id!$A:$B,2,FALSE)&amp;",")</f>
        <v>102,</v>
      </c>
      <c r="AT26" s="36" t="str">
        <f t="shared" si="78"/>
        <v>20038,102,</v>
      </c>
      <c r="AU26" s="36" t="str">
        <f t="shared" si="79"/>
        <v>[20038,102]</v>
      </c>
      <c r="AV26" s="36" t="str">
        <f t="shared" si="4"/>
        <v>1,</v>
      </c>
      <c r="AW26" s="36" t="str">
        <f t="shared" si="5"/>
        <v>240,</v>
      </c>
      <c r="AX26" s="36" t="str">
        <f t="shared" si="80"/>
        <v>1,240,</v>
      </c>
      <c r="AY26" s="36" t="str">
        <f t="shared" si="81"/>
        <v>[1,240]</v>
      </c>
    </row>
    <row r="27" spans="1:51" s="36" customFormat="1" x14ac:dyDescent="0.2">
      <c r="A27" s="36">
        <v>1</v>
      </c>
      <c r="B27" s="36" t="s">
        <v>1038</v>
      </c>
      <c r="C27" s="36">
        <v>10</v>
      </c>
      <c r="D27" s="34" t="s">
        <v>1148</v>
      </c>
      <c r="E27" s="36" t="s">
        <v>135</v>
      </c>
      <c r="F27" s="36">
        <v>3</v>
      </c>
      <c r="G27" s="36" t="s">
        <v>1114</v>
      </c>
      <c r="H27" s="36" t="s">
        <v>824</v>
      </c>
      <c r="J27" s="17">
        <v>0.8</v>
      </c>
      <c r="K27" s="17">
        <v>0.8</v>
      </c>
      <c r="L27" s="17">
        <v>1</v>
      </c>
      <c r="M27" s="35">
        <f>(IF(G27="",挂机玩法规划!$L$2,VLOOKUP(G27,物品id!A:D,4,FALSE)*IF(J27=0,1,4))*IF(J27=0,1,J27)+IF(H27="",挂机玩法规划!$L$2,VLOOKUP(H27,物品id!A:D,4,FALSE)*IF(K27=0,1,4))*IF(K27=0,1,K27)+IF(I27="",挂机玩法规划!$L$2,VLOOKUP(I27,物品id!A:D,4,FALSE)*IF(L27=0,1,4))*IF(L27=0,1,L27))/O27</f>
        <v>0.92500000000000004</v>
      </c>
      <c r="N27" s="44">
        <f>IF(G27="",挂机玩法规划!$L$2,VLOOKUP(G27,物品id!A:D,4,FALSE)*4)+IF(H27="",挂机玩法规划!$L$2,VLOOKUP(H27,物品id!A:D,4,FALSE)*4)+IF(I27="",挂机玩法规划!$L$2,VLOOKUP(I27,物品id!A:D,4,FALSE)*4)</f>
        <v>90</v>
      </c>
      <c r="O27" s="45">
        <v>80</v>
      </c>
      <c r="P27" s="36">
        <v>3</v>
      </c>
      <c r="Q27" s="36">
        <v>3</v>
      </c>
      <c r="R27" s="36" t="s">
        <v>1131</v>
      </c>
      <c r="S27" s="36">
        <v>240</v>
      </c>
      <c r="T27" s="36" t="s">
        <v>835</v>
      </c>
      <c r="U27" s="36">
        <v>240</v>
      </c>
      <c r="V27" s="36" t="s">
        <v>842</v>
      </c>
      <c r="W27" s="36" t="s">
        <v>200</v>
      </c>
      <c r="X27" s="36">
        <v>2</v>
      </c>
      <c r="Y27" s="36">
        <f>U27*挂机玩法规划!$O$4*VLOOKUP(E27,挂机玩法规划!$G$2:$I$17,3,FALSE)</f>
        <v>480</v>
      </c>
      <c r="Z27" s="17">
        <f t="shared" si="6"/>
        <v>1.85</v>
      </c>
      <c r="AA27" s="17">
        <f t="shared" si="7"/>
        <v>444</v>
      </c>
      <c r="AB27" s="17">
        <f>(VLOOKUP(V27,物品id!A:E,5,FALSE)*挂机玩法填表!Z27+VLOOKUP(挂机玩法填表!W27,物品id!A:E,5,FALSE)*挂机玩法填表!AA27)/(U27/60)</f>
        <v>25.567</v>
      </c>
      <c r="AD27" s="17" t="str">
        <f>IF(G27="","",VLOOKUP(G27,物品id!$A:$B,2,FALSE)&amp;",")</f>
        <v>2111,</v>
      </c>
      <c r="AE27" s="17" t="str">
        <f>IF(H27="","",VLOOKUP(H27,物品id!$A:$B,2,FALSE)&amp;",")</f>
        <v>3111,</v>
      </c>
      <c r="AF27" s="17" t="str">
        <f>IF(I27="","",VLOOKUP(I27,物品id!$A:$B,2,FALSE)&amp;",")</f>
        <v/>
      </c>
      <c r="AG27" s="36" t="str">
        <f t="shared" si="42"/>
        <v>2111,3111,</v>
      </c>
      <c r="AH27" s="36" t="str">
        <f t="shared" si="43"/>
        <v>[2111,3111]</v>
      </c>
      <c r="AI27" s="17" t="str">
        <f t="shared" si="0"/>
        <v>3,</v>
      </c>
      <c r="AJ27" s="17" t="str">
        <f t="shared" si="1"/>
        <v>3,</v>
      </c>
      <c r="AK27" s="17" t="str">
        <f t="shared" si="2"/>
        <v/>
      </c>
      <c r="AL27" s="36" t="str">
        <f t="shared" si="44"/>
        <v>3,3,</v>
      </c>
      <c r="AM27" s="36" t="str">
        <f t="shared" si="45"/>
        <v>[3,3]</v>
      </c>
      <c r="AN27" s="36" t="str">
        <f>VLOOKUP(T27,物品id!$A:$B,2,FALSE)&amp;","</f>
        <v>102,</v>
      </c>
      <c r="AO27" s="17" t="str">
        <f t="shared" si="8"/>
        <v>[102]</v>
      </c>
      <c r="AP27" s="36" t="str">
        <f t="shared" si="3"/>
        <v>240,</v>
      </c>
      <c r="AQ27" s="17" t="str">
        <f t="shared" si="9"/>
        <v>[240]</v>
      </c>
      <c r="AR27" s="36" t="str">
        <f>IF(V27="","",VLOOKUP(V27,物品id!$A:$B,2,FALSE)&amp;",")</f>
        <v>20038,</v>
      </c>
      <c r="AS27" s="36" t="str">
        <f>IF(W27="","",VLOOKUP(W27,物品id!$A:$B,2,FALSE)&amp;",")</f>
        <v>102,</v>
      </c>
      <c r="AT27" s="36" t="str">
        <f t="shared" si="46"/>
        <v>20038,102,</v>
      </c>
      <c r="AU27" s="36" t="str">
        <f t="shared" si="47"/>
        <v>[20038,102]</v>
      </c>
      <c r="AV27" s="36" t="str">
        <f t="shared" si="4"/>
        <v>2,</v>
      </c>
      <c r="AW27" s="36" t="str">
        <f t="shared" si="5"/>
        <v>480,</v>
      </c>
      <c r="AX27" s="36" t="str">
        <f t="shared" si="48"/>
        <v>2,480,</v>
      </c>
      <c r="AY27" s="36" t="str">
        <f t="shared" si="49"/>
        <v>[2,480]</v>
      </c>
    </row>
    <row r="28" spans="1:51" s="36" customFormat="1" x14ac:dyDescent="0.2">
      <c r="A28" s="36">
        <v>1</v>
      </c>
      <c r="B28" s="36" t="s">
        <v>1038</v>
      </c>
      <c r="C28" s="36">
        <v>10</v>
      </c>
      <c r="D28" s="34" t="s">
        <v>1148</v>
      </c>
      <c r="E28" s="36" t="s">
        <v>135</v>
      </c>
      <c r="F28" s="36">
        <v>3</v>
      </c>
      <c r="G28" s="36" t="s">
        <v>803</v>
      </c>
      <c r="H28" s="36" t="s">
        <v>1115</v>
      </c>
      <c r="J28" s="17">
        <v>0.8</v>
      </c>
      <c r="K28" s="17">
        <v>0.8</v>
      </c>
      <c r="L28" s="17">
        <v>1</v>
      </c>
      <c r="M28" s="35">
        <f>(IF(G28="",挂机玩法规划!$L$2,VLOOKUP(G28,物品id!A:D,4,FALSE)*IF(J28=0,1,4))*IF(J28=0,1,J28)+IF(H28="",挂机玩法规划!$L$2,VLOOKUP(H28,物品id!A:D,4,FALSE)*IF(K28=0,1,4))*IF(K28=0,1,K28)+IF(I28="",挂机玩法规划!$L$2,VLOOKUP(I28,物品id!A:D,4,FALSE)*IF(L28=0,1,4))*IF(L28=0,1,L28))/O28</f>
        <v>0.92500000000000004</v>
      </c>
      <c r="N28" s="44">
        <f>IF(G28="",挂机玩法规划!$L$2,VLOOKUP(G28,物品id!A:D,4,FALSE)*4)+IF(H28="",挂机玩法规划!$L$2,VLOOKUP(H28,物品id!A:D,4,FALSE)*4)+IF(I28="",挂机玩法规划!$L$2,VLOOKUP(I28,物品id!A:D,4,FALSE)*4)</f>
        <v>90</v>
      </c>
      <c r="O28" s="45">
        <v>80</v>
      </c>
      <c r="P28" s="36">
        <v>3</v>
      </c>
      <c r="Q28" s="36">
        <v>3</v>
      </c>
      <c r="R28" s="36" t="s">
        <v>1131</v>
      </c>
      <c r="S28" s="36">
        <v>240</v>
      </c>
      <c r="T28" s="36" t="s">
        <v>835</v>
      </c>
      <c r="U28" s="36">
        <v>240</v>
      </c>
      <c r="V28" s="36" t="s">
        <v>842</v>
      </c>
      <c r="W28" s="36" t="s">
        <v>200</v>
      </c>
      <c r="X28" s="36">
        <v>2</v>
      </c>
      <c r="Y28" s="36">
        <f>U28*挂机玩法规划!$O$4*VLOOKUP(E28,挂机玩法规划!$G$2:$I$17,3,FALSE)</f>
        <v>480</v>
      </c>
      <c r="Z28" s="17">
        <f t="shared" si="6"/>
        <v>1.85</v>
      </c>
      <c r="AA28" s="17">
        <f t="shared" si="7"/>
        <v>444</v>
      </c>
      <c r="AB28" s="17">
        <f>(VLOOKUP(V28,物品id!A:E,5,FALSE)*挂机玩法填表!Z28+VLOOKUP(挂机玩法填表!W28,物品id!A:E,5,FALSE)*挂机玩法填表!AA28)/(U28/60)</f>
        <v>25.567</v>
      </c>
      <c r="AD28" s="17" t="str">
        <f>IF(G28="","",VLOOKUP(G28,物品id!$A:$B,2,FALSE)&amp;",")</f>
        <v>1111,</v>
      </c>
      <c r="AE28" s="17" t="str">
        <f>IF(H28="","",VLOOKUP(H28,物品id!$A:$B,2,FALSE)&amp;",")</f>
        <v>3111,</v>
      </c>
      <c r="AF28" s="17" t="str">
        <f>IF(I28="","",VLOOKUP(I28,物品id!$A:$B,2,FALSE)&amp;",")</f>
        <v/>
      </c>
      <c r="AG28" s="36" t="str">
        <f t="shared" ref="AG28:AG29" si="82">AD28&amp;AE28&amp;AF28</f>
        <v>1111,3111,</v>
      </c>
      <c r="AH28" s="36" t="str">
        <f t="shared" ref="AH28:AH29" si="83">"["&amp;LEFT(AG28,LEN(AG28)-1)&amp;"]"</f>
        <v>[1111,3111]</v>
      </c>
      <c r="AI28" s="17" t="str">
        <f t="shared" si="0"/>
        <v>3,</v>
      </c>
      <c r="AJ28" s="17" t="str">
        <f t="shared" si="1"/>
        <v>3,</v>
      </c>
      <c r="AK28" s="17" t="str">
        <f t="shared" si="2"/>
        <v/>
      </c>
      <c r="AL28" s="36" t="str">
        <f t="shared" ref="AL28:AL29" si="84">AI28&amp;AJ28&amp;AK28</f>
        <v>3,3,</v>
      </c>
      <c r="AM28" s="36" t="str">
        <f t="shared" ref="AM28:AM29" si="85">"["&amp;LEFT(AL28,LEN(AL28)-1)&amp;"]"</f>
        <v>[3,3]</v>
      </c>
      <c r="AN28" s="36" t="str">
        <f>VLOOKUP(T28,物品id!$A:$B,2,FALSE)&amp;","</f>
        <v>102,</v>
      </c>
      <c r="AO28" s="17" t="str">
        <f t="shared" si="8"/>
        <v>[102]</v>
      </c>
      <c r="AP28" s="36" t="str">
        <f t="shared" si="3"/>
        <v>240,</v>
      </c>
      <c r="AQ28" s="17" t="str">
        <f t="shared" si="9"/>
        <v>[240]</v>
      </c>
      <c r="AR28" s="36" t="str">
        <f>IF(V28="","",VLOOKUP(V28,物品id!$A:$B,2,FALSE)&amp;",")</f>
        <v>20038,</v>
      </c>
      <c r="AS28" s="36" t="str">
        <f>IF(W28="","",VLOOKUP(W28,物品id!$A:$B,2,FALSE)&amp;",")</f>
        <v>102,</v>
      </c>
      <c r="AT28" s="36" t="str">
        <f t="shared" ref="AT28:AT29" si="86">AR28&amp;AS28</f>
        <v>20038,102,</v>
      </c>
      <c r="AU28" s="36" t="str">
        <f t="shared" ref="AU28:AU29" si="87">"["&amp;LEFT(AT28,LEN(AT28)-1)&amp;"]"</f>
        <v>[20038,102]</v>
      </c>
      <c r="AV28" s="36" t="str">
        <f t="shared" si="4"/>
        <v>2,</v>
      </c>
      <c r="AW28" s="36" t="str">
        <f t="shared" si="5"/>
        <v>480,</v>
      </c>
      <c r="AX28" s="36" t="str">
        <f t="shared" ref="AX28:AX29" si="88">AV28&amp;AW28</f>
        <v>2,480,</v>
      </c>
      <c r="AY28" s="36" t="str">
        <f t="shared" ref="AY28:AY29" si="89">"["&amp;LEFT(AX28,LEN(AX28)-1)&amp;"]"</f>
        <v>[2,480]</v>
      </c>
    </row>
    <row r="29" spans="1:51" s="36" customFormat="1" x14ac:dyDescent="0.2">
      <c r="A29" s="36">
        <v>1</v>
      </c>
      <c r="B29" s="36" t="s">
        <v>1038</v>
      </c>
      <c r="C29" s="36">
        <v>10</v>
      </c>
      <c r="D29" s="34" t="s">
        <v>1148</v>
      </c>
      <c r="E29" s="36" t="s">
        <v>135</v>
      </c>
      <c r="F29" s="36">
        <v>3</v>
      </c>
      <c r="G29" s="36" t="s">
        <v>803</v>
      </c>
      <c r="H29" s="36" t="s">
        <v>814</v>
      </c>
      <c r="J29" s="17">
        <v>0.8</v>
      </c>
      <c r="K29" s="17">
        <v>0.8</v>
      </c>
      <c r="L29" s="17">
        <v>1</v>
      </c>
      <c r="M29" s="35">
        <f>(IF(G29="",挂机玩法规划!$L$2,VLOOKUP(G29,物品id!A:D,4,FALSE)*IF(J29=0,1,4))*IF(J29=0,1,J29)+IF(H29="",挂机玩法规划!$L$2,VLOOKUP(H29,物品id!A:D,4,FALSE)*IF(K29=0,1,4))*IF(K29=0,1,K29)+IF(I29="",挂机玩法规划!$L$2,VLOOKUP(I29,物品id!A:D,4,FALSE)*IF(L29=0,1,4))*IF(L29=0,1,L29))/O29</f>
        <v>0.92500000000000004</v>
      </c>
      <c r="N29" s="44">
        <f>IF(G29="",挂机玩法规划!$L$2,VLOOKUP(G29,物品id!A:D,4,FALSE)*4)+IF(H29="",挂机玩法规划!$L$2,VLOOKUP(H29,物品id!A:D,4,FALSE)*4)+IF(I29="",挂机玩法规划!$L$2,VLOOKUP(I29,物品id!A:D,4,FALSE)*4)</f>
        <v>90</v>
      </c>
      <c r="O29" s="45">
        <v>80</v>
      </c>
      <c r="P29" s="36">
        <v>3</v>
      </c>
      <c r="Q29" s="36">
        <v>3</v>
      </c>
      <c r="R29" s="36" t="s">
        <v>1131</v>
      </c>
      <c r="S29" s="36">
        <v>240</v>
      </c>
      <c r="T29" s="36" t="s">
        <v>835</v>
      </c>
      <c r="U29" s="36">
        <v>240</v>
      </c>
      <c r="V29" s="36" t="s">
        <v>842</v>
      </c>
      <c r="W29" s="36" t="s">
        <v>200</v>
      </c>
      <c r="X29" s="36">
        <v>2</v>
      </c>
      <c r="Y29" s="36">
        <f>U29*挂机玩法规划!$O$4*VLOOKUP(E29,挂机玩法规划!$G$2:$I$17,3,FALSE)</f>
        <v>480</v>
      </c>
      <c r="Z29" s="17">
        <f t="shared" si="6"/>
        <v>1.85</v>
      </c>
      <c r="AA29" s="17">
        <f t="shared" si="7"/>
        <v>444</v>
      </c>
      <c r="AB29" s="17">
        <f>(VLOOKUP(V29,物品id!A:E,5,FALSE)*挂机玩法填表!Z29+VLOOKUP(挂机玩法填表!W29,物品id!A:E,5,FALSE)*挂机玩法填表!AA29)/(U29/60)</f>
        <v>25.567</v>
      </c>
      <c r="AD29" s="17" t="str">
        <f>IF(G29="","",VLOOKUP(G29,物品id!$A:$B,2,FALSE)&amp;",")</f>
        <v>1111,</v>
      </c>
      <c r="AE29" s="17" t="str">
        <f>IF(H29="","",VLOOKUP(H29,物品id!$A:$B,2,FALSE)&amp;",")</f>
        <v>2111,</v>
      </c>
      <c r="AF29" s="17" t="str">
        <f>IF(I29="","",VLOOKUP(I29,物品id!$A:$B,2,FALSE)&amp;",")</f>
        <v/>
      </c>
      <c r="AG29" s="36" t="str">
        <f t="shared" si="82"/>
        <v>1111,2111,</v>
      </c>
      <c r="AH29" s="36" t="str">
        <f t="shared" si="83"/>
        <v>[1111,2111]</v>
      </c>
      <c r="AI29" s="17" t="str">
        <f t="shared" si="0"/>
        <v>3,</v>
      </c>
      <c r="AJ29" s="17" t="str">
        <f t="shared" si="1"/>
        <v>3,</v>
      </c>
      <c r="AK29" s="17" t="str">
        <f t="shared" si="2"/>
        <v/>
      </c>
      <c r="AL29" s="36" t="str">
        <f t="shared" si="84"/>
        <v>3,3,</v>
      </c>
      <c r="AM29" s="36" t="str">
        <f t="shared" si="85"/>
        <v>[3,3]</v>
      </c>
      <c r="AN29" s="36" t="str">
        <f>VLOOKUP(T29,物品id!$A:$B,2,FALSE)&amp;","</f>
        <v>102,</v>
      </c>
      <c r="AO29" s="17" t="str">
        <f t="shared" si="8"/>
        <v>[102]</v>
      </c>
      <c r="AP29" s="36" t="str">
        <f t="shared" si="3"/>
        <v>240,</v>
      </c>
      <c r="AQ29" s="17" t="str">
        <f t="shared" si="9"/>
        <v>[240]</v>
      </c>
      <c r="AR29" s="36" t="str">
        <f>IF(V29="","",VLOOKUP(V29,物品id!$A:$B,2,FALSE)&amp;",")</f>
        <v>20038,</v>
      </c>
      <c r="AS29" s="36" t="str">
        <f>IF(W29="","",VLOOKUP(W29,物品id!$A:$B,2,FALSE)&amp;",")</f>
        <v>102,</v>
      </c>
      <c r="AT29" s="36" t="str">
        <f t="shared" si="86"/>
        <v>20038,102,</v>
      </c>
      <c r="AU29" s="36" t="str">
        <f t="shared" si="87"/>
        <v>[20038,102]</v>
      </c>
      <c r="AV29" s="36" t="str">
        <f t="shared" si="4"/>
        <v>2,</v>
      </c>
      <c r="AW29" s="36" t="str">
        <f t="shared" si="5"/>
        <v>480,</v>
      </c>
      <c r="AX29" s="36" t="str">
        <f t="shared" si="88"/>
        <v>2,480,</v>
      </c>
      <c r="AY29" s="36" t="str">
        <f t="shared" si="89"/>
        <v>[2,480]</v>
      </c>
    </row>
    <row r="30" spans="1:51" s="36" customFormat="1" x14ac:dyDescent="0.2">
      <c r="A30" s="36">
        <v>1</v>
      </c>
      <c r="B30" s="36" t="s">
        <v>1037</v>
      </c>
      <c r="C30" s="36">
        <v>11</v>
      </c>
      <c r="D30" s="34" t="s">
        <v>1149</v>
      </c>
      <c r="E30" s="36" t="s">
        <v>135</v>
      </c>
      <c r="F30" s="36">
        <v>3</v>
      </c>
      <c r="G30" s="36" t="s">
        <v>814</v>
      </c>
      <c r="H30" s="36" t="s">
        <v>824</v>
      </c>
      <c r="J30" s="17">
        <v>0.8</v>
      </c>
      <c r="K30" s="17">
        <v>0.8</v>
      </c>
      <c r="L30" s="17">
        <v>1</v>
      </c>
      <c r="M30" s="35">
        <f>(IF(G30="",挂机玩法规划!$L$2,VLOOKUP(G30,物品id!A:D,4,FALSE)*IF(J30=0,1,4))*IF(J30=0,1,J30)+IF(H30="",挂机玩法规划!$L$2,VLOOKUP(H30,物品id!A:D,4,FALSE)*IF(K30=0,1,4))*IF(K30=0,1,K30)+IF(I30="",挂机玩法规划!$L$2,VLOOKUP(I30,物品id!A:D,4,FALSE)*IF(L30=0,1,4))*IF(L30=0,1,L30))/O30</f>
        <v>0.92500000000000004</v>
      </c>
      <c r="N30" s="44">
        <f>IF(G30="",挂机玩法规划!$L$2,VLOOKUP(G30,物品id!A:D,4,FALSE)*4)+IF(H30="",挂机玩法规划!$L$2,VLOOKUP(H30,物品id!A:D,4,FALSE)*4)+IF(I30="",挂机玩法规划!$L$2,VLOOKUP(I30,物品id!A:D,4,FALSE)*4)</f>
        <v>90</v>
      </c>
      <c r="O30" s="45">
        <v>80</v>
      </c>
      <c r="P30" s="36">
        <v>3</v>
      </c>
      <c r="Q30" s="36">
        <v>3</v>
      </c>
      <c r="R30" s="36" t="s">
        <v>1131</v>
      </c>
      <c r="S30" s="36">
        <v>480</v>
      </c>
      <c r="T30" s="36" t="s">
        <v>835</v>
      </c>
      <c r="U30" s="36">
        <v>480</v>
      </c>
      <c r="V30" s="36" t="s">
        <v>842</v>
      </c>
      <c r="W30" s="36" t="s">
        <v>200</v>
      </c>
      <c r="X30" s="36">
        <v>3</v>
      </c>
      <c r="Y30" s="36">
        <f>U30*挂机玩法规划!$O$4*VLOOKUP(E30,挂机玩法规划!$G$2:$I$17,3,FALSE)</f>
        <v>960</v>
      </c>
      <c r="Z30" s="17">
        <f t="shared" si="6"/>
        <v>2.7750000000000004</v>
      </c>
      <c r="AA30" s="17">
        <f t="shared" si="7"/>
        <v>888</v>
      </c>
      <c r="AB30" s="17">
        <f>(VLOOKUP(V30,物品id!A:E,5,FALSE)*挂机玩法填表!Z30+VLOOKUP(挂机玩法填表!W30,物品id!A:E,5,FALSE)*挂机玩法填表!AA30)/(U30/60)</f>
        <v>19.785750000000004</v>
      </c>
      <c r="AD30" s="17" t="str">
        <f>IF(G30="","",VLOOKUP(G30,物品id!$A:$B,2,FALSE)&amp;",")</f>
        <v>2111,</v>
      </c>
      <c r="AE30" s="17" t="str">
        <f>IF(H30="","",VLOOKUP(H30,物品id!$A:$B,2,FALSE)&amp;",")</f>
        <v>3111,</v>
      </c>
      <c r="AF30" s="17" t="str">
        <f>IF(I30="","",VLOOKUP(I30,物品id!$A:$B,2,FALSE)&amp;",")</f>
        <v/>
      </c>
      <c r="AG30" s="36" t="str">
        <f t="shared" si="42"/>
        <v>2111,3111,</v>
      </c>
      <c r="AH30" s="36" t="str">
        <f t="shared" si="43"/>
        <v>[2111,3111]</v>
      </c>
      <c r="AI30" s="17" t="str">
        <f t="shared" si="0"/>
        <v>3,</v>
      </c>
      <c r="AJ30" s="17" t="str">
        <f t="shared" si="1"/>
        <v>3,</v>
      </c>
      <c r="AK30" s="17" t="str">
        <f t="shared" si="2"/>
        <v/>
      </c>
      <c r="AL30" s="36" t="str">
        <f t="shared" si="44"/>
        <v>3,3,</v>
      </c>
      <c r="AM30" s="36" t="str">
        <f t="shared" si="45"/>
        <v>[3,3]</v>
      </c>
      <c r="AN30" s="36" t="str">
        <f>VLOOKUP(T30,物品id!$A:$B,2,FALSE)&amp;","</f>
        <v>102,</v>
      </c>
      <c r="AO30" s="17" t="str">
        <f t="shared" si="8"/>
        <v>[102]</v>
      </c>
      <c r="AP30" s="36" t="str">
        <f t="shared" si="3"/>
        <v>480,</v>
      </c>
      <c r="AQ30" s="17" t="str">
        <f t="shared" si="9"/>
        <v>[480]</v>
      </c>
      <c r="AR30" s="36" t="str">
        <f>IF(V30="","",VLOOKUP(V30,物品id!$A:$B,2,FALSE)&amp;",")</f>
        <v>20038,</v>
      </c>
      <c r="AS30" s="36" t="str">
        <f>IF(W30="","",VLOOKUP(W30,物品id!$A:$B,2,FALSE)&amp;",")</f>
        <v>102,</v>
      </c>
      <c r="AT30" s="36" t="str">
        <f t="shared" si="46"/>
        <v>20038,102,</v>
      </c>
      <c r="AU30" s="36" t="str">
        <f t="shared" si="47"/>
        <v>[20038,102]</v>
      </c>
      <c r="AV30" s="36" t="str">
        <f t="shared" si="4"/>
        <v>3,</v>
      </c>
      <c r="AW30" s="36" t="str">
        <f t="shared" si="5"/>
        <v>960,</v>
      </c>
      <c r="AX30" s="36" t="str">
        <f t="shared" si="48"/>
        <v>3,960,</v>
      </c>
      <c r="AY30" s="36" t="str">
        <f t="shared" si="49"/>
        <v>[3,960]</v>
      </c>
    </row>
    <row r="31" spans="1:51" s="36" customFormat="1" x14ac:dyDescent="0.2">
      <c r="A31" s="36">
        <v>1</v>
      </c>
      <c r="B31" s="36" t="s">
        <v>1037</v>
      </c>
      <c r="C31" s="36">
        <v>11</v>
      </c>
      <c r="D31" s="34" t="s">
        <v>1149</v>
      </c>
      <c r="E31" s="36" t="s">
        <v>135</v>
      </c>
      <c r="F31" s="36">
        <v>3</v>
      </c>
      <c r="G31" s="36" t="s">
        <v>803</v>
      </c>
      <c r="H31" s="36" t="s">
        <v>824</v>
      </c>
      <c r="J31" s="17">
        <v>0.8</v>
      </c>
      <c r="K31" s="17">
        <v>0.8</v>
      </c>
      <c r="L31" s="17">
        <v>1</v>
      </c>
      <c r="M31" s="35">
        <f>(IF(G31="",挂机玩法规划!$L$2,VLOOKUP(G31,物品id!A:D,4,FALSE)*IF(J31=0,1,4))*IF(J31=0,1,J31)+IF(H31="",挂机玩法规划!$L$2,VLOOKUP(H31,物品id!A:D,4,FALSE)*IF(K31=0,1,4))*IF(K31=0,1,K31)+IF(I31="",挂机玩法规划!$L$2,VLOOKUP(I31,物品id!A:D,4,FALSE)*IF(L31=0,1,4))*IF(L31=0,1,L31))/O31</f>
        <v>0.92500000000000004</v>
      </c>
      <c r="N31" s="44">
        <f>IF(G31="",挂机玩法规划!$L$2,VLOOKUP(G31,物品id!A:D,4,FALSE)*4)+IF(H31="",挂机玩法规划!$L$2,VLOOKUP(H31,物品id!A:D,4,FALSE)*4)+IF(I31="",挂机玩法规划!$L$2,VLOOKUP(I31,物品id!A:D,4,FALSE)*4)</f>
        <v>90</v>
      </c>
      <c r="O31" s="45">
        <v>80</v>
      </c>
      <c r="P31" s="36">
        <v>3</v>
      </c>
      <c r="Q31" s="36">
        <v>3</v>
      </c>
      <c r="R31" s="36" t="s">
        <v>1131</v>
      </c>
      <c r="S31" s="36">
        <v>480</v>
      </c>
      <c r="T31" s="36" t="s">
        <v>835</v>
      </c>
      <c r="U31" s="36">
        <v>480</v>
      </c>
      <c r="V31" s="36" t="s">
        <v>842</v>
      </c>
      <c r="W31" s="36" t="s">
        <v>200</v>
      </c>
      <c r="X31" s="36">
        <v>3</v>
      </c>
      <c r="Y31" s="36">
        <f>U31*挂机玩法规划!$O$4*VLOOKUP(E31,挂机玩法规划!$G$2:$I$17,3,FALSE)</f>
        <v>960</v>
      </c>
      <c r="Z31" s="17">
        <f t="shared" si="6"/>
        <v>2.7750000000000004</v>
      </c>
      <c r="AA31" s="17">
        <f t="shared" si="7"/>
        <v>888</v>
      </c>
      <c r="AB31" s="17">
        <f>(VLOOKUP(V31,物品id!A:E,5,FALSE)*挂机玩法填表!Z31+VLOOKUP(挂机玩法填表!W31,物品id!A:E,5,FALSE)*挂机玩法填表!AA31)/(U31/60)</f>
        <v>19.785750000000004</v>
      </c>
      <c r="AD31" s="17" t="str">
        <f>IF(G31="","",VLOOKUP(G31,物品id!$A:$B,2,FALSE)&amp;",")</f>
        <v>1111,</v>
      </c>
      <c r="AE31" s="17" t="str">
        <f>IF(H31="","",VLOOKUP(H31,物品id!$A:$B,2,FALSE)&amp;",")</f>
        <v>3111,</v>
      </c>
      <c r="AF31" s="17" t="str">
        <f>IF(I31="","",VLOOKUP(I31,物品id!$A:$B,2,FALSE)&amp;",")</f>
        <v/>
      </c>
      <c r="AG31" s="36" t="str">
        <f t="shared" ref="AG31:AG32" si="90">AD31&amp;AE31&amp;AF31</f>
        <v>1111,3111,</v>
      </c>
      <c r="AH31" s="36" t="str">
        <f t="shared" ref="AH31:AH32" si="91">"["&amp;LEFT(AG31,LEN(AG31)-1)&amp;"]"</f>
        <v>[1111,3111]</v>
      </c>
      <c r="AI31" s="17" t="str">
        <f t="shared" si="0"/>
        <v>3,</v>
      </c>
      <c r="AJ31" s="17" t="str">
        <f t="shared" si="1"/>
        <v>3,</v>
      </c>
      <c r="AK31" s="17" t="str">
        <f t="shared" si="2"/>
        <v/>
      </c>
      <c r="AL31" s="36" t="str">
        <f t="shared" ref="AL31:AL32" si="92">AI31&amp;AJ31&amp;AK31</f>
        <v>3,3,</v>
      </c>
      <c r="AM31" s="36" t="str">
        <f t="shared" ref="AM31:AM32" si="93">"["&amp;LEFT(AL31,LEN(AL31)-1)&amp;"]"</f>
        <v>[3,3]</v>
      </c>
      <c r="AN31" s="36" t="str">
        <f>VLOOKUP(T31,物品id!$A:$B,2,FALSE)&amp;","</f>
        <v>102,</v>
      </c>
      <c r="AO31" s="17" t="str">
        <f t="shared" si="8"/>
        <v>[102]</v>
      </c>
      <c r="AP31" s="36" t="str">
        <f t="shared" si="3"/>
        <v>480,</v>
      </c>
      <c r="AQ31" s="17" t="str">
        <f t="shared" si="9"/>
        <v>[480]</v>
      </c>
      <c r="AR31" s="36" t="str">
        <f>IF(V31="","",VLOOKUP(V31,物品id!$A:$B,2,FALSE)&amp;",")</f>
        <v>20038,</v>
      </c>
      <c r="AS31" s="36" t="str">
        <f>IF(W31="","",VLOOKUP(W31,物品id!$A:$B,2,FALSE)&amp;",")</f>
        <v>102,</v>
      </c>
      <c r="AT31" s="36" t="str">
        <f t="shared" ref="AT31:AT32" si="94">AR31&amp;AS31</f>
        <v>20038,102,</v>
      </c>
      <c r="AU31" s="36" t="str">
        <f t="shared" ref="AU31:AU32" si="95">"["&amp;LEFT(AT31,LEN(AT31)-1)&amp;"]"</f>
        <v>[20038,102]</v>
      </c>
      <c r="AV31" s="36" t="str">
        <f t="shared" si="4"/>
        <v>3,</v>
      </c>
      <c r="AW31" s="36" t="str">
        <f t="shared" si="5"/>
        <v>960,</v>
      </c>
      <c r="AX31" s="36" t="str">
        <f t="shared" ref="AX31:AX32" si="96">AV31&amp;AW31</f>
        <v>3,960,</v>
      </c>
      <c r="AY31" s="36" t="str">
        <f t="shared" ref="AY31:AY32" si="97">"["&amp;LEFT(AX31,LEN(AX31)-1)&amp;"]"</f>
        <v>[3,960]</v>
      </c>
    </row>
    <row r="32" spans="1:51" s="36" customFormat="1" x14ac:dyDescent="0.2">
      <c r="A32" s="36">
        <v>1</v>
      </c>
      <c r="B32" s="36" t="s">
        <v>1037</v>
      </c>
      <c r="C32" s="36">
        <v>11</v>
      </c>
      <c r="D32" s="34" t="s">
        <v>1149</v>
      </c>
      <c r="E32" s="36" t="s">
        <v>135</v>
      </c>
      <c r="F32" s="36">
        <v>3</v>
      </c>
      <c r="G32" s="36" t="s">
        <v>803</v>
      </c>
      <c r="H32" s="36" t="s">
        <v>814</v>
      </c>
      <c r="J32" s="17">
        <v>0.8</v>
      </c>
      <c r="K32" s="17">
        <v>0.8</v>
      </c>
      <c r="L32" s="17">
        <v>1</v>
      </c>
      <c r="M32" s="35">
        <f>(IF(G32="",挂机玩法规划!$L$2,VLOOKUP(G32,物品id!A:D,4,FALSE)*IF(J32=0,1,4))*IF(J32=0,1,J32)+IF(H32="",挂机玩法规划!$L$2,VLOOKUP(H32,物品id!A:D,4,FALSE)*IF(K32=0,1,4))*IF(K32=0,1,K32)+IF(I32="",挂机玩法规划!$L$2,VLOOKUP(I32,物品id!A:D,4,FALSE)*IF(L32=0,1,4))*IF(L32=0,1,L32))/O32</f>
        <v>0.92500000000000004</v>
      </c>
      <c r="N32" s="44">
        <f>IF(G32="",挂机玩法规划!$L$2,VLOOKUP(G32,物品id!A:D,4,FALSE)*4)+IF(H32="",挂机玩法规划!$L$2,VLOOKUP(H32,物品id!A:D,4,FALSE)*4)+IF(I32="",挂机玩法规划!$L$2,VLOOKUP(I32,物品id!A:D,4,FALSE)*4)</f>
        <v>90</v>
      </c>
      <c r="O32" s="45">
        <v>80</v>
      </c>
      <c r="P32" s="36">
        <v>3</v>
      </c>
      <c r="Q32" s="36">
        <v>3</v>
      </c>
      <c r="R32" s="36" t="s">
        <v>1131</v>
      </c>
      <c r="S32" s="36">
        <v>480</v>
      </c>
      <c r="T32" s="36" t="s">
        <v>835</v>
      </c>
      <c r="U32" s="36">
        <v>480</v>
      </c>
      <c r="V32" s="36" t="s">
        <v>842</v>
      </c>
      <c r="W32" s="36" t="s">
        <v>200</v>
      </c>
      <c r="X32" s="36">
        <v>3</v>
      </c>
      <c r="Y32" s="36">
        <f>U32*挂机玩法规划!$O$4*VLOOKUP(E32,挂机玩法规划!$G$2:$I$17,3,FALSE)</f>
        <v>960</v>
      </c>
      <c r="Z32" s="17">
        <f t="shared" si="6"/>
        <v>2.7750000000000004</v>
      </c>
      <c r="AA32" s="17">
        <f t="shared" si="7"/>
        <v>888</v>
      </c>
      <c r="AB32" s="17">
        <f>(VLOOKUP(V32,物品id!A:E,5,FALSE)*挂机玩法填表!Z32+VLOOKUP(挂机玩法填表!W32,物品id!A:E,5,FALSE)*挂机玩法填表!AA32)/(U32/60)</f>
        <v>19.785750000000004</v>
      </c>
      <c r="AD32" s="17" t="str">
        <f>IF(G32="","",VLOOKUP(G32,物品id!$A:$B,2,FALSE)&amp;",")</f>
        <v>1111,</v>
      </c>
      <c r="AE32" s="17" t="str">
        <f>IF(H32="","",VLOOKUP(H32,物品id!$A:$B,2,FALSE)&amp;",")</f>
        <v>2111,</v>
      </c>
      <c r="AF32" s="17" t="str">
        <f>IF(I32="","",VLOOKUP(I32,物品id!$A:$B,2,FALSE)&amp;",")</f>
        <v/>
      </c>
      <c r="AG32" s="36" t="str">
        <f t="shared" si="90"/>
        <v>1111,2111,</v>
      </c>
      <c r="AH32" s="36" t="str">
        <f t="shared" si="91"/>
        <v>[1111,2111]</v>
      </c>
      <c r="AI32" s="17" t="str">
        <f t="shared" si="0"/>
        <v>3,</v>
      </c>
      <c r="AJ32" s="17" t="str">
        <f t="shared" si="1"/>
        <v>3,</v>
      </c>
      <c r="AK32" s="17" t="str">
        <f t="shared" si="2"/>
        <v/>
      </c>
      <c r="AL32" s="36" t="str">
        <f t="shared" si="92"/>
        <v>3,3,</v>
      </c>
      <c r="AM32" s="36" t="str">
        <f t="shared" si="93"/>
        <v>[3,3]</v>
      </c>
      <c r="AN32" s="36" t="str">
        <f>VLOOKUP(T32,物品id!$A:$B,2,FALSE)&amp;","</f>
        <v>102,</v>
      </c>
      <c r="AO32" s="17" t="str">
        <f t="shared" si="8"/>
        <v>[102]</v>
      </c>
      <c r="AP32" s="36" t="str">
        <f t="shared" si="3"/>
        <v>480,</v>
      </c>
      <c r="AQ32" s="17" t="str">
        <f t="shared" si="9"/>
        <v>[480]</v>
      </c>
      <c r="AR32" s="36" t="str">
        <f>IF(V32="","",VLOOKUP(V32,物品id!$A:$B,2,FALSE)&amp;",")</f>
        <v>20038,</v>
      </c>
      <c r="AS32" s="36" t="str">
        <f>IF(W32="","",VLOOKUP(W32,物品id!$A:$B,2,FALSE)&amp;",")</f>
        <v>102,</v>
      </c>
      <c r="AT32" s="36" t="str">
        <f t="shared" si="94"/>
        <v>20038,102,</v>
      </c>
      <c r="AU32" s="36" t="str">
        <f t="shared" si="95"/>
        <v>[20038,102]</v>
      </c>
      <c r="AV32" s="36" t="str">
        <f t="shared" si="4"/>
        <v>3,</v>
      </c>
      <c r="AW32" s="36" t="str">
        <f t="shared" si="5"/>
        <v>960,</v>
      </c>
      <c r="AX32" s="36" t="str">
        <f t="shared" si="96"/>
        <v>3,960,</v>
      </c>
      <c r="AY32" s="36" t="str">
        <f t="shared" si="97"/>
        <v>[3,960]</v>
      </c>
    </row>
    <row r="33" spans="1:51" s="36" customFormat="1" x14ac:dyDescent="0.2">
      <c r="A33" s="36">
        <v>1</v>
      </c>
      <c r="B33" s="36" t="s">
        <v>1037</v>
      </c>
      <c r="C33" s="36">
        <v>12</v>
      </c>
      <c r="D33" s="34" t="s">
        <v>1150</v>
      </c>
      <c r="E33" s="36" t="s">
        <v>135</v>
      </c>
      <c r="F33" s="36">
        <v>3</v>
      </c>
      <c r="G33" s="36" t="s">
        <v>814</v>
      </c>
      <c r="H33" s="36" t="s">
        <v>824</v>
      </c>
      <c r="J33" s="17">
        <v>0.8</v>
      </c>
      <c r="K33" s="17">
        <v>0.8</v>
      </c>
      <c r="L33" s="17">
        <v>1</v>
      </c>
      <c r="M33" s="35">
        <f>(IF(G33="",挂机玩法规划!$L$2,VLOOKUP(G33,物品id!A:D,4,FALSE)*IF(J33=0,1,4))*IF(J33=0,1,J33)+IF(H33="",挂机玩法规划!$L$2,VLOOKUP(H33,物品id!A:D,4,FALSE)*IF(K33=0,1,4))*IF(K33=0,1,K33)+IF(I33="",挂机玩法规划!$L$2,VLOOKUP(I33,物品id!A:D,4,FALSE)*IF(L33=0,1,4))*IF(L33=0,1,L33))/O33</f>
        <v>0.92500000000000004</v>
      </c>
      <c r="N33" s="44">
        <f>IF(G33="",挂机玩法规划!$L$2,VLOOKUP(G33,物品id!A:D,4,FALSE)*4)+IF(H33="",挂机玩法规划!$L$2,VLOOKUP(H33,物品id!A:D,4,FALSE)*4)+IF(I33="",挂机玩法规划!$L$2,VLOOKUP(I33,物品id!A:D,4,FALSE)*4)</f>
        <v>90</v>
      </c>
      <c r="O33" s="45">
        <v>80</v>
      </c>
      <c r="P33" s="36">
        <v>3</v>
      </c>
      <c r="Q33" s="36">
        <v>3</v>
      </c>
      <c r="R33" s="36" t="s">
        <v>1131</v>
      </c>
      <c r="S33" s="36">
        <v>720</v>
      </c>
      <c r="T33" s="36" t="s">
        <v>835</v>
      </c>
      <c r="U33" s="36">
        <v>720</v>
      </c>
      <c r="V33" s="36" t="s">
        <v>1046</v>
      </c>
      <c r="W33" s="36" t="s">
        <v>200</v>
      </c>
      <c r="X33" s="36">
        <v>1</v>
      </c>
      <c r="Y33" s="36">
        <f>U33*挂机玩法规划!$O$4*VLOOKUP(E33,挂机玩法规划!$G$2:$I$17,3,FALSE)</f>
        <v>1440</v>
      </c>
      <c r="Z33" s="17">
        <f t="shared" si="6"/>
        <v>0.92500000000000004</v>
      </c>
      <c r="AA33" s="17">
        <f t="shared" si="7"/>
        <v>1332</v>
      </c>
      <c r="AB33" s="17">
        <f>(VLOOKUP(V33,物品id!A:E,5,FALSE)*挂机玩法填表!Z33+VLOOKUP(挂机玩法填表!W33,物品id!A:E,5,FALSE)*挂机玩法填表!AA33)/(U33/60)</f>
        <v>10.150333333333334</v>
      </c>
      <c r="AD33" s="17" t="str">
        <f>IF(G33="","",VLOOKUP(G33,物品id!$A:$B,2,FALSE)&amp;",")</f>
        <v>2111,</v>
      </c>
      <c r="AE33" s="17" t="str">
        <f>IF(H33="","",VLOOKUP(H33,物品id!$A:$B,2,FALSE)&amp;",")</f>
        <v>3111,</v>
      </c>
      <c r="AF33" s="17" t="str">
        <f>IF(I33="","",VLOOKUP(I33,物品id!$A:$B,2,FALSE)&amp;",")</f>
        <v/>
      </c>
      <c r="AG33" s="36" t="str">
        <f t="shared" si="42"/>
        <v>2111,3111,</v>
      </c>
      <c r="AH33" s="36" t="str">
        <f t="shared" si="43"/>
        <v>[2111,3111]</v>
      </c>
      <c r="AI33" s="17" t="str">
        <f t="shared" si="0"/>
        <v>3,</v>
      </c>
      <c r="AJ33" s="17" t="str">
        <f t="shared" si="1"/>
        <v>3,</v>
      </c>
      <c r="AK33" s="17" t="str">
        <f t="shared" si="2"/>
        <v/>
      </c>
      <c r="AL33" s="36" t="str">
        <f t="shared" si="44"/>
        <v>3,3,</v>
      </c>
      <c r="AM33" s="36" t="str">
        <f t="shared" si="45"/>
        <v>[3,3]</v>
      </c>
      <c r="AN33" s="36" t="str">
        <f>VLOOKUP(T33,物品id!$A:$B,2,FALSE)&amp;","</f>
        <v>102,</v>
      </c>
      <c r="AO33" s="17" t="str">
        <f t="shared" si="8"/>
        <v>[102]</v>
      </c>
      <c r="AP33" s="36" t="str">
        <f t="shared" si="3"/>
        <v>720,</v>
      </c>
      <c r="AQ33" s="17" t="str">
        <f t="shared" si="9"/>
        <v>[720]</v>
      </c>
      <c r="AR33" s="36" t="str">
        <f>IF(V33="","",VLOOKUP(V33,物品id!$A:$B,2,FALSE)&amp;",")</f>
        <v>20037,</v>
      </c>
      <c r="AS33" s="36" t="str">
        <f>IF(W33="","",VLOOKUP(W33,物品id!$A:$B,2,FALSE)&amp;",")</f>
        <v>102,</v>
      </c>
      <c r="AT33" s="36" t="str">
        <f t="shared" si="46"/>
        <v>20037,102,</v>
      </c>
      <c r="AU33" s="36" t="str">
        <f t="shared" si="47"/>
        <v>[20037,102]</v>
      </c>
      <c r="AV33" s="36" t="str">
        <f t="shared" si="4"/>
        <v>1,</v>
      </c>
      <c r="AW33" s="36" t="str">
        <f t="shared" si="5"/>
        <v>1440,</v>
      </c>
      <c r="AX33" s="36" t="str">
        <f t="shared" si="48"/>
        <v>1,1440,</v>
      </c>
      <c r="AY33" s="36" t="str">
        <f t="shared" si="49"/>
        <v>[1,1440]</v>
      </c>
    </row>
    <row r="34" spans="1:51" s="36" customFormat="1" x14ac:dyDescent="0.2">
      <c r="A34" s="36">
        <v>1</v>
      </c>
      <c r="B34" s="36" t="s">
        <v>1037</v>
      </c>
      <c r="C34" s="36">
        <v>12</v>
      </c>
      <c r="D34" s="34" t="s">
        <v>1150</v>
      </c>
      <c r="E34" s="36" t="s">
        <v>135</v>
      </c>
      <c r="F34" s="36">
        <v>3</v>
      </c>
      <c r="G34" s="36" t="s">
        <v>803</v>
      </c>
      <c r="H34" s="36" t="s">
        <v>824</v>
      </c>
      <c r="J34" s="17">
        <v>0.8</v>
      </c>
      <c r="K34" s="17">
        <v>0.8</v>
      </c>
      <c r="L34" s="17">
        <v>1</v>
      </c>
      <c r="M34" s="35">
        <f>(IF(G34="",挂机玩法规划!$L$2,VLOOKUP(G34,物品id!A:D,4,FALSE)*IF(J34=0,1,4))*IF(J34=0,1,J34)+IF(H34="",挂机玩法规划!$L$2,VLOOKUP(H34,物品id!A:D,4,FALSE)*IF(K34=0,1,4))*IF(K34=0,1,K34)+IF(I34="",挂机玩法规划!$L$2,VLOOKUP(I34,物品id!A:D,4,FALSE)*IF(L34=0,1,4))*IF(L34=0,1,L34))/O34</f>
        <v>0.92500000000000004</v>
      </c>
      <c r="N34" s="44">
        <f>IF(G34="",挂机玩法规划!$L$2,VLOOKUP(G34,物品id!A:D,4,FALSE)*4)+IF(H34="",挂机玩法规划!$L$2,VLOOKUP(H34,物品id!A:D,4,FALSE)*4)+IF(I34="",挂机玩法规划!$L$2,VLOOKUP(I34,物品id!A:D,4,FALSE)*4)</f>
        <v>90</v>
      </c>
      <c r="O34" s="45">
        <v>80</v>
      </c>
      <c r="P34" s="36">
        <v>3</v>
      </c>
      <c r="Q34" s="36">
        <v>3</v>
      </c>
      <c r="R34" s="36" t="s">
        <v>1131</v>
      </c>
      <c r="S34" s="36">
        <v>720</v>
      </c>
      <c r="T34" s="36" t="s">
        <v>835</v>
      </c>
      <c r="U34" s="36">
        <v>720</v>
      </c>
      <c r="V34" s="36" t="s">
        <v>1046</v>
      </c>
      <c r="W34" s="36" t="s">
        <v>200</v>
      </c>
      <c r="X34" s="36">
        <v>1</v>
      </c>
      <c r="Y34" s="36">
        <f>U34*挂机玩法规划!$O$4*VLOOKUP(E34,挂机玩法规划!$G$2:$I$17,3,FALSE)</f>
        <v>1440</v>
      </c>
      <c r="Z34" s="17">
        <f t="shared" si="6"/>
        <v>0.92500000000000004</v>
      </c>
      <c r="AA34" s="17">
        <f t="shared" si="7"/>
        <v>1332</v>
      </c>
      <c r="AB34" s="17">
        <f>(VLOOKUP(V34,物品id!A:E,5,FALSE)*挂机玩法填表!Z34+VLOOKUP(挂机玩法填表!W34,物品id!A:E,5,FALSE)*挂机玩法填表!AA34)/(U34/60)</f>
        <v>10.150333333333334</v>
      </c>
      <c r="AD34" s="17" t="str">
        <f>IF(G34="","",VLOOKUP(G34,物品id!$A:$B,2,FALSE)&amp;",")</f>
        <v>1111,</v>
      </c>
      <c r="AE34" s="17" t="str">
        <f>IF(H34="","",VLOOKUP(H34,物品id!$A:$B,2,FALSE)&amp;",")</f>
        <v>3111,</v>
      </c>
      <c r="AF34" s="17" t="str">
        <f>IF(I34="","",VLOOKUP(I34,物品id!$A:$B,2,FALSE)&amp;",")</f>
        <v/>
      </c>
      <c r="AG34" s="36" t="str">
        <f t="shared" ref="AG34:AG35" si="98">AD34&amp;AE34&amp;AF34</f>
        <v>1111,3111,</v>
      </c>
      <c r="AH34" s="36" t="str">
        <f t="shared" ref="AH34:AH35" si="99">"["&amp;LEFT(AG34,LEN(AG34)-1)&amp;"]"</f>
        <v>[1111,3111]</v>
      </c>
      <c r="AI34" s="17" t="str">
        <f t="shared" ref="AI34:AI65" si="100">IF(P34="","",P34&amp;",")</f>
        <v>3,</v>
      </c>
      <c r="AJ34" s="17" t="str">
        <f t="shared" ref="AJ34:AJ65" si="101">IF(Q34="","",Q34&amp;",")</f>
        <v>3,</v>
      </c>
      <c r="AK34" s="17" t="str">
        <f t="shared" ref="AK34:AK65" si="102">IF(R34="","",R34&amp;",")</f>
        <v/>
      </c>
      <c r="AL34" s="36" t="str">
        <f t="shared" ref="AL34:AL35" si="103">AI34&amp;AJ34&amp;AK34</f>
        <v>3,3,</v>
      </c>
      <c r="AM34" s="36" t="str">
        <f t="shared" ref="AM34:AM35" si="104">"["&amp;LEFT(AL34,LEN(AL34)-1)&amp;"]"</f>
        <v>[3,3]</v>
      </c>
      <c r="AN34" s="36" t="str">
        <f>VLOOKUP(T34,物品id!$A:$B,2,FALSE)&amp;","</f>
        <v>102,</v>
      </c>
      <c r="AO34" s="17" t="str">
        <f t="shared" si="8"/>
        <v>[102]</v>
      </c>
      <c r="AP34" s="36" t="str">
        <f t="shared" si="3"/>
        <v>720,</v>
      </c>
      <c r="AQ34" s="17" t="str">
        <f t="shared" si="9"/>
        <v>[720]</v>
      </c>
      <c r="AR34" s="36" t="str">
        <f>IF(V34="","",VLOOKUP(V34,物品id!$A:$B,2,FALSE)&amp;",")</f>
        <v>20037,</v>
      </c>
      <c r="AS34" s="36" t="str">
        <f>IF(W34="","",VLOOKUP(W34,物品id!$A:$B,2,FALSE)&amp;",")</f>
        <v>102,</v>
      </c>
      <c r="AT34" s="36" t="str">
        <f t="shared" ref="AT34:AT35" si="105">AR34&amp;AS34</f>
        <v>20037,102,</v>
      </c>
      <c r="AU34" s="36" t="str">
        <f t="shared" ref="AU34:AU35" si="106">"["&amp;LEFT(AT34,LEN(AT34)-1)&amp;"]"</f>
        <v>[20037,102]</v>
      </c>
      <c r="AV34" s="36" t="str">
        <f t="shared" si="4"/>
        <v>1,</v>
      </c>
      <c r="AW34" s="36" t="str">
        <f t="shared" si="5"/>
        <v>1440,</v>
      </c>
      <c r="AX34" s="36" t="str">
        <f t="shared" ref="AX34:AX35" si="107">AV34&amp;AW34</f>
        <v>1,1440,</v>
      </c>
      <c r="AY34" s="36" t="str">
        <f t="shared" ref="AY34:AY35" si="108">"["&amp;LEFT(AX34,LEN(AX34)-1)&amp;"]"</f>
        <v>[1,1440]</v>
      </c>
    </row>
    <row r="35" spans="1:51" s="36" customFormat="1" x14ac:dyDescent="0.2">
      <c r="A35" s="36">
        <v>1</v>
      </c>
      <c r="B35" s="36" t="s">
        <v>1037</v>
      </c>
      <c r="C35" s="36">
        <v>12</v>
      </c>
      <c r="D35" s="34" t="s">
        <v>1150</v>
      </c>
      <c r="E35" s="36" t="s">
        <v>135</v>
      </c>
      <c r="F35" s="36">
        <v>3</v>
      </c>
      <c r="G35" s="36" t="s">
        <v>803</v>
      </c>
      <c r="H35" s="36" t="s">
        <v>814</v>
      </c>
      <c r="J35" s="17">
        <v>0.8</v>
      </c>
      <c r="K35" s="17">
        <v>0.8</v>
      </c>
      <c r="L35" s="17">
        <v>1</v>
      </c>
      <c r="M35" s="35">
        <f>(IF(G35="",挂机玩法规划!$L$2,VLOOKUP(G35,物品id!A:D,4,FALSE)*IF(J35=0,1,4))*IF(J35=0,1,J35)+IF(H35="",挂机玩法规划!$L$2,VLOOKUP(H35,物品id!A:D,4,FALSE)*IF(K35=0,1,4))*IF(K35=0,1,K35)+IF(I35="",挂机玩法规划!$L$2,VLOOKUP(I35,物品id!A:D,4,FALSE)*IF(L35=0,1,4))*IF(L35=0,1,L35))/O35</f>
        <v>0.92500000000000004</v>
      </c>
      <c r="N35" s="44">
        <f>IF(G35="",挂机玩法规划!$L$2,VLOOKUP(G35,物品id!A:D,4,FALSE)*4)+IF(H35="",挂机玩法规划!$L$2,VLOOKUP(H35,物品id!A:D,4,FALSE)*4)+IF(I35="",挂机玩法规划!$L$2,VLOOKUP(I35,物品id!A:D,4,FALSE)*4)</f>
        <v>90</v>
      </c>
      <c r="O35" s="45">
        <v>80</v>
      </c>
      <c r="P35" s="36">
        <v>3</v>
      </c>
      <c r="Q35" s="36">
        <v>3</v>
      </c>
      <c r="R35" s="36" t="s">
        <v>1131</v>
      </c>
      <c r="S35" s="36">
        <v>720</v>
      </c>
      <c r="T35" s="36" t="s">
        <v>835</v>
      </c>
      <c r="U35" s="36">
        <v>720</v>
      </c>
      <c r="V35" s="36" t="s">
        <v>1046</v>
      </c>
      <c r="W35" s="36" t="s">
        <v>200</v>
      </c>
      <c r="X35" s="36">
        <v>1</v>
      </c>
      <c r="Y35" s="36">
        <f>U35*挂机玩法规划!$O$4*VLOOKUP(E35,挂机玩法规划!$G$2:$I$17,3,FALSE)</f>
        <v>1440</v>
      </c>
      <c r="Z35" s="17">
        <f t="shared" si="6"/>
        <v>0.92500000000000004</v>
      </c>
      <c r="AA35" s="17">
        <f t="shared" si="7"/>
        <v>1332</v>
      </c>
      <c r="AB35" s="17">
        <f>(VLOOKUP(V35,物品id!A:E,5,FALSE)*挂机玩法填表!Z35+VLOOKUP(挂机玩法填表!W35,物品id!A:E,5,FALSE)*挂机玩法填表!AA35)/(U35/60)</f>
        <v>10.150333333333334</v>
      </c>
      <c r="AD35" s="17" t="str">
        <f>IF(G35="","",VLOOKUP(G35,物品id!$A:$B,2,FALSE)&amp;",")</f>
        <v>1111,</v>
      </c>
      <c r="AE35" s="17" t="str">
        <f>IF(H35="","",VLOOKUP(H35,物品id!$A:$B,2,FALSE)&amp;",")</f>
        <v>2111,</v>
      </c>
      <c r="AF35" s="17" t="str">
        <f>IF(I35="","",VLOOKUP(I35,物品id!$A:$B,2,FALSE)&amp;",")</f>
        <v/>
      </c>
      <c r="AG35" s="36" t="str">
        <f t="shared" si="98"/>
        <v>1111,2111,</v>
      </c>
      <c r="AH35" s="36" t="str">
        <f t="shared" si="99"/>
        <v>[1111,2111]</v>
      </c>
      <c r="AI35" s="17" t="str">
        <f t="shared" si="100"/>
        <v>3,</v>
      </c>
      <c r="AJ35" s="17" t="str">
        <f t="shared" si="101"/>
        <v>3,</v>
      </c>
      <c r="AK35" s="17" t="str">
        <f t="shared" si="102"/>
        <v/>
      </c>
      <c r="AL35" s="36" t="str">
        <f t="shared" si="103"/>
        <v>3,3,</v>
      </c>
      <c r="AM35" s="36" t="str">
        <f t="shared" si="104"/>
        <v>[3,3]</v>
      </c>
      <c r="AN35" s="36" t="str">
        <f>VLOOKUP(T35,物品id!$A:$B,2,FALSE)&amp;","</f>
        <v>102,</v>
      </c>
      <c r="AO35" s="17" t="str">
        <f t="shared" si="8"/>
        <v>[102]</v>
      </c>
      <c r="AP35" s="36" t="str">
        <f t="shared" si="3"/>
        <v>720,</v>
      </c>
      <c r="AQ35" s="17" t="str">
        <f t="shared" si="9"/>
        <v>[720]</v>
      </c>
      <c r="AR35" s="36" t="str">
        <f>IF(V35="","",VLOOKUP(V35,物品id!$A:$B,2,FALSE)&amp;",")</f>
        <v>20037,</v>
      </c>
      <c r="AS35" s="36" t="str">
        <f>IF(W35="","",VLOOKUP(W35,物品id!$A:$B,2,FALSE)&amp;",")</f>
        <v>102,</v>
      </c>
      <c r="AT35" s="36" t="str">
        <f t="shared" si="105"/>
        <v>20037,102,</v>
      </c>
      <c r="AU35" s="36" t="str">
        <f t="shared" si="106"/>
        <v>[20037,102]</v>
      </c>
      <c r="AV35" s="36" t="str">
        <f t="shared" si="4"/>
        <v>1,</v>
      </c>
      <c r="AW35" s="36" t="str">
        <f t="shared" si="5"/>
        <v>1440,</v>
      </c>
      <c r="AX35" s="36" t="str">
        <f t="shared" si="107"/>
        <v>1,1440,</v>
      </c>
      <c r="AY35" s="36" t="str">
        <f t="shared" si="108"/>
        <v>[1,1440]</v>
      </c>
    </row>
    <row r="36" spans="1:51" s="36" customFormat="1" x14ac:dyDescent="0.2">
      <c r="A36" s="36">
        <v>2</v>
      </c>
      <c r="B36" s="36" t="s">
        <v>1037</v>
      </c>
      <c r="C36" s="36">
        <v>13</v>
      </c>
      <c r="D36" s="34" t="s">
        <v>1151</v>
      </c>
      <c r="E36" s="36" t="s">
        <v>135</v>
      </c>
      <c r="F36" s="36">
        <v>3</v>
      </c>
      <c r="G36" s="36" t="s">
        <v>1113</v>
      </c>
      <c r="H36" s="36" t="s">
        <v>804</v>
      </c>
      <c r="J36" s="17">
        <v>0.8</v>
      </c>
      <c r="K36" s="17">
        <v>0.5</v>
      </c>
      <c r="L36" s="17">
        <v>1</v>
      </c>
      <c r="M36" s="35">
        <f>(IF(G36="",挂机玩法规划!$L$2,VLOOKUP(G36,物品id!A:D,4,FALSE)*IF(J36=0,1,4))*IF(J36=0,1,J36)+IF(H36="",挂机玩法规划!$L$2,VLOOKUP(H36,物品id!A:D,4,FALSE)*IF(K36=0,1,4))*IF(K36=0,1,K36)+IF(I36="",挂机玩法规划!$L$2,VLOOKUP(I36,物品id!A:D,4,FALSE)*IF(L36=0,1,4))*IF(L36=0,1,L36))/O36</f>
        <v>0.68333333333333335</v>
      </c>
      <c r="N36" s="44">
        <f>IF(G36="",挂机玩法规划!$L$2,VLOOKUP(G36,物品id!A:D,4,FALSE)*4)+IF(H36="",挂机玩法规划!$L$2,VLOOKUP(H36,物品id!A:D,4,FALSE)*4)+IF(I36="",挂机玩法规划!$L$2,VLOOKUP(I36,物品id!A:D,4,FALSE)*4)</f>
        <v>130</v>
      </c>
      <c r="O36" s="45">
        <v>120</v>
      </c>
      <c r="P36" s="36">
        <v>3</v>
      </c>
      <c r="Q36" s="36">
        <v>3</v>
      </c>
      <c r="R36" s="36" t="s">
        <v>1131</v>
      </c>
      <c r="S36" s="36">
        <v>120</v>
      </c>
      <c r="T36" s="36" t="s">
        <v>835</v>
      </c>
      <c r="U36" s="36">
        <v>120</v>
      </c>
      <c r="V36" s="36" t="s">
        <v>838</v>
      </c>
      <c r="W36" s="36" t="s">
        <v>200</v>
      </c>
      <c r="X36" s="36">
        <v>1</v>
      </c>
      <c r="Y36" s="36">
        <f>U36*挂机玩法规划!$O$4*VLOOKUP(E36,挂机玩法规划!$G$2:$I$17,3,FALSE)</f>
        <v>240</v>
      </c>
      <c r="Z36" s="17">
        <f t="shared" si="6"/>
        <v>0.68333333333333335</v>
      </c>
      <c r="AA36" s="17">
        <f t="shared" si="7"/>
        <v>164</v>
      </c>
      <c r="AB36" s="17">
        <f>(VLOOKUP(V36,物品id!A:E,5,FALSE)*挂机玩法填表!Z36+VLOOKUP(挂机玩法填表!W36,物品id!A:E,5,FALSE)*挂机玩法填表!AA36)/(U36/60)</f>
        <v>17.178999999999998</v>
      </c>
      <c r="AD36" s="17" t="str">
        <f>IF(G36="","",VLOOKUP(G36,物品id!$A:$B,2,FALSE)&amp;",")</f>
        <v>1111,</v>
      </c>
      <c r="AE36" s="17" t="str">
        <f>IF(H36="","",VLOOKUP(H36,物品id!$A:$B,2,FALSE)&amp;",")</f>
        <v>1211,</v>
      </c>
      <c r="AF36" s="17" t="str">
        <f>IF(I36="","",VLOOKUP(I36,物品id!$A:$B,2,FALSE)&amp;",")</f>
        <v/>
      </c>
      <c r="AG36" s="36" t="str">
        <f t="shared" si="42"/>
        <v>1111,1211,</v>
      </c>
      <c r="AH36" s="36" t="str">
        <f t="shared" si="43"/>
        <v>[1111,1211]</v>
      </c>
      <c r="AI36" s="17" t="str">
        <f t="shared" si="100"/>
        <v>3,</v>
      </c>
      <c r="AJ36" s="17" t="str">
        <f t="shared" si="101"/>
        <v>3,</v>
      </c>
      <c r="AK36" s="17" t="str">
        <f t="shared" si="102"/>
        <v/>
      </c>
      <c r="AL36" s="36" t="str">
        <f t="shared" si="44"/>
        <v>3,3,</v>
      </c>
      <c r="AM36" s="36" t="str">
        <f t="shared" si="45"/>
        <v>[3,3]</v>
      </c>
      <c r="AN36" s="36" t="str">
        <f>VLOOKUP(T36,物品id!$A:$B,2,FALSE)&amp;","</f>
        <v>102,</v>
      </c>
      <c r="AO36" s="17" t="str">
        <f t="shared" si="8"/>
        <v>[102]</v>
      </c>
      <c r="AP36" s="36" t="str">
        <f t="shared" si="3"/>
        <v>120,</v>
      </c>
      <c r="AQ36" s="17" t="str">
        <f t="shared" si="9"/>
        <v>[120]</v>
      </c>
      <c r="AR36" s="36" t="str">
        <f>IF(V36="","",VLOOKUP(V36,物品id!$A:$B,2,FALSE)&amp;",")</f>
        <v>20034,</v>
      </c>
      <c r="AS36" s="36" t="str">
        <f>IF(W36="","",VLOOKUP(W36,物品id!$A:$B,2,FALSE)&amp;",")</f>
        <v>102,</v>
      </c>
      <c r="AT36" s="36" t="str">
        <f t="shared" si="46"/>
        <v>20034,102,</v>
      </c>
      <c r="AU36" s="36" t="str">
        <f t="shared" si="47"/>
        <v>[20034,102]</v>
      </c>
      <c r="AV36" s="36" t="str">
        <f t="shared" si="4"/>
        <v>1,</v>
      </c>
      <c r="AW36" s="36" t="str">
        <f t="shared" si="5"/>
        <v>240,</v>
      </c>
      <c r="AX36" s="36" t="str">
        <f t="shared" si="48"/>
        <v>1,240,</v>
      </c>
      <c r="AY36" s="36" t="str">
        <f t="shared" si="49"/>
        <v>[1,240]</v>
      </c>
    </row>
    <row r="37" spans="1:51" s="36" customFormat="1" x14ac:dyDescent="0.2">
      <c r="A37" s="36">
        <v>2</v>
      </c>
      <c r="B37" s="36" t="s">
        <v>1037</v>
      </c>
      <c r="C37" s="36">
        <v>13</v>
      </c>
      <c r="D37" s="34" t="s">
        <v>1151</v>
      </c>
      <c r="E37" s="36" t="s">
        <v>135</v>
      </c>
      <c r="F37" s="36">
        <v>3</v>
      </c>
      <c r="G37" s="36" t="s">
        <v>1114</v>
      </c>
      <c r="H37" s="36" t="s">
        <v>815</v>
      </c>
      <c r="J37" s="17">
        <v>0.8</v>
      </c>
      <c r="K37" s="17">
        <v>0.5</v>
      </c>
      <c r="L37" s="17">
        <v>1</v>
      </c>
      <c r="M37" s="35">
        <f>(IF(G37="",挂机玩法规划!$L$2,VLOOKUP(G37,物品id!A:D,4,FALSE)*IF(J37=0,1,4))*IF(J37=0,1,J37)+IF(H37="",挂机玩法规划!$L$2,VLOOKUP(H37,物品id!A:D,4,FALSE)*IF(K37=0,1,4))*IF(K37=0,1,K37)+IF(I37="",挂机玩法规划!$L$2,VLOOKUP(I37,物品id!A:D,4,FALSE)*IF(L37=0,1,4))*IF(L37=0,1,L37))/O37</f>
        <v>0.68333333333333335</v>
      </c>
      <c r="N37" s="44">
        <f>IF(G37="",挂机玩法规划!$L$2,VLOOKUP(G37,物品id!A:D,4,FALSE)*4)+IF(H37="",挂机玩法规划!$L$2,VLOOKUP(H37,物品id!A:D,4,FALSE)*4)+IF(I37="",挂机玩法规划!$L$2,VLOOKUP(I37,物品id!A:D,4,FALSE)*4)</f>
        <v>130</v>
      </c>
      <c r="O37" s="45">
        <v>120</v>
      </c>
      <c r="P37" s="36">
        <v>3</v>
      </c>
      <c r="Q37" s="36">
        <v>3</v>
      </c>
      <c r="R37" s="36" t="s">
        <v>1131</v>
      </c>
      <c r="S37" s="36">
        <v>120</v>
      </c>
      <c r="T37" s="36" t="s">
        <v>835</v>
      </c>
      <c r="U37" s="36">
        <v>120</v>
      </c>
      <c r="V37" s="36" t="s">
        <v>838</v>
      </c>
      <c r="W37" s="36" t="s">
        <v>200</v>
      </c>
      <c r="X37" s="36">
        <v>1</v>
      </c>
      <c r="Y37" s="36">
        <f>U37*挂机玩法规划!$O$4*VLOOKUP(E37,挂机玩法规划!$G$2:$I$17,3,FALSE)</f>
        <v>240</v>
      </c>
      <c r="Z37" s="17">
        <f t="shared" si="6"/>
        <v>0.68333333333333335</v>
      </c>
      <c r="AA37" s="17">
        <f t="shared" si="7"/>
        <v>164</v>
      </c>
      <c r="AB37" s="17">
        <f>(VLOOKUP(V37,物品id!A:E,5,FALSE)*挂机玩法填表!Z37+VLOOKUP(挂机玩法填表!W37,物品id!A:E,5,FALSE)*挂机玩法填表!AA37)/(U37/60)</f>
        <v>17.178999999999998</v>
      </c>
      <c r="AD37" s="17" t="str">
        <f>IF(G37="","",VLOOKUP(G37,物品id!$A:$B,2,FALSE)&amp;",")</f>
        <v>2111,</v>
      </c>
      <c r="AE37" s="17" t="str">
        <f>IF(H37="","",VLOOKUP(H37,物品id!$A:$B,2,FALSE)&amp;",")</f>
        <v>2211,</v>
      </c>
      <c r="AF37" s="17" t="str">
        <f>IF(I37="","",VLOOKUP(I37,物品id!$A:$B,2,FALSE)&amp;",")</f>
        <v/>
      </c>
      <c r="AG37" s="36" t="str">
        <f t="shared" ref="AG37:AG38" si="109">AD37&amp;AE37&amp;AF37</f>
        <v>2111,2211,</v>
      </c>
      <c r="AH37" s="36" t="str">
        <f t="shared" ref="AH37:AH38" si="110">"["&amp;LEFT(AG37,LEN(AG37)-1)&amp;"]"</f>
        <v>[2111,2211]</v>
      </c>
      <c r="AI37" s="17" t="str">
        <f t="shared" si="100"/>
        <v>3,</v>
      </c>
      <c r="AJ37" s="17" t="str">
        <f t="shared" si="101"/>
        <v>3,</v>
      </c>
      <c r="AK37" s="17" t="str">
        <f t="shared" si="102"/>
        <v/>
      </c>
      <c r="AL37" s="36" t="str">
        <f t="shared" ref="AL37:AL38" si="111">AI37&amp;AJ37&amp;AK37</f>
        <v>3,3,</v>
      </c>
      <c r="AM37" s="36" t="str">
        <f t="shared" ref="AM37:AM38" si="112">"["&amp;LEFT(AL37,LEN(AL37)-1)&amp;"]"</f>
        <v>[3,3]</v>
      </c>
      <c r="AN37" s="36" t="str">
        <f>VLOOKUP(T37,物品id!$A:$B,2,FALSE)&amp;","</f>
        <v>102,</v>
      </c>
      <c r="AO37" s="17" t="str">
        <f t="shared" si="8"/>
        <v>[102]</v>
      </c>
      <c r="AP37" s="36" t="str">
        <f t="shared" si="3"/>
        <v>120,</v>
      </c>
      <c r="AQ37" s="17" t="str">
        <f t="shared" si="9"/>
        <v>[120]</v>
      </c>
      <c r="AR37" s="36" t="str">
        <f>IF(V37="","",VLOOKUP(V37,物品id!$A:$B,2,FALSE)&amp;",")</f>
        <v>20034,</v>
      </c>
      <c r="AS37" s="36" t="str">
        <f>IF(W37="","",VLOOKUP(W37,物品id!$A:$B,2,FALSE)&amp;",")</f>
        <v>102,</v>
      </c>
      <c r="AT37" s="36" t="str">
        <f t="shared" ref="AT37:AT38" si="113">AR37&amp;AS37</f>
        <v>20034,102,</v>
      </c>
      <c r="AU37" s="36" t="str">
        <f t="shared" ref="AU37:AU38" si="114">"["&amp;LEFT(AT37,LEN(AT37)-1)&amp;"]"</f>
        <v>[20034,102]</v>
      </c>
      <c r="AV37" s="36" t="str">
        <f t="shared" si="4"/>
        <v>1,</v>
      </c>
      <c r="AW37" s="36" t="str">
        <f t="shared" si="5"/>
        <v>240,</v>
      </c>
      <c r="AX37" s="36" t="str">
        <f t="shared" ref="AX37:AX38" si="115">AV37&amp;AW37</f>
        <v>1,240,</v>
      </c>
      <c r="AY37" s="36" t="str">
        <f t="shared" ref="AY37:AY38" si="116">"["&amp;LEFT(AX37,LEN(AX37)-1)&amp;"]"</f>
        <v>[1,240]</v>
      </c>
    </row>
    <row r="38" spans="1:51" s="36" customFormat="1" x14ac:dyDescent="0.2">
      <c r="A38" s="36">
        <v>2</v>
      </c>
      <c r="B38" s="36" t="s">
        <v>1037</v>
      </c>
      <c r="C38" s="36">
        <v>13</v>
      </c>
      <c r="D38" s="34" t="s">
        <v>1151</v>
      </c>
      <c r="E38" s="36" t="s">
        <v>135</v>
      </c>
      <c r="F38" s="36">
        <v>3</v>
      </c>
      <c r="G38" s="36" t="s">
        <v>1115</v>
      </c>
      <c r="H38" s="36" t="s">
        <v>825</v>
      </c>
      <c r="J38" s="17">
        <v>0.8</v>
      </c>
      <c r="K38" s="17">
        <v>0.5</v>
      </c>
      <c r="L38" s="17">
        <v>1</v>
      </c>
      <c r="M38" s="35">
        <f>(IF(G38="",挂机玩法规划!$L$2,VLOOKUP(G38,物品id!A:D,4,FALSE)*IF(J38=0,1,4))*IF(J38=0,1,J38)+IF(H38="",挂机玩法规划!$L$2,VLOOKUP(H38,物品id!A:D,4,FALSE)*IF(K38=0,1,4))*IF(K38=0,1,K38)+IF(I38="",挂机玩法规划!$L$2,VLOOKUP(I38,物品id!A:D,4,FALSE)*IF(L38=0,1,4))*IF(L38=0,1,L38))/O38</f>
        <v>0.68333333333333335</v>
      </c>
      <c r="N38" s="44">
        <f>IF(G38="",挂机玩法规划!$L$2,VLOOKUP(G38,物品id!A:D,4,FALSE)*4)+IF(H38="",挂机玩法规划!$L$2,VLOOKUP(H38,物品id!A:D,4,FALSE)*4)+IF(I38="",挂机玩法规划!$L$2,VLOOKUP(I38,物品id!A:D,4,FALSE)*4)</f>
        <v>130</v>
      </c>
      <c r="O38" s="45">
        <v>120</v>
      </c>
      <c r="P38" s="36">
        <v>3</v>
      </c>
      <c r="Q38" s="36">
        <v>3</v>
      </c>
      <c r="R38" s="36" t="s">
        <v>1131</v>
      </c>
      <c r="S38" s="36">
        <v>120</v>
      </c>
      <c r="T38" s="36" t="s">
        <v>835</v>
      </c>
      <c r="U38" s="36">
        <v>120</v>
      </c>
      <c r="V38" s="36" t="s">
        <v>838</v>
      </c>
      <c r="W38" s="36" t="s">
        <v>200</v>
      </c>
      <c r="X38" s="36">
        <v>1</v>
      </c>
      <c r="Y38" s="36">
        <f>U38*挂机玩法规划!$O$4*VLOOKUP(E38,挂机玩法规划!$G$2:$I$17,3,FALSE)</f>
        <v>240</v>
      </c>
      <c r="Z38" s="17">
        <f t="shared" si="6"/>
        <v>0.68333333333333335</v>
      </c>
      <c r="AA38" s="17">
        <f t="shared" si="7"/>
        <v>164</v>
      </c>
      <c r="AB38" s="17">
        <f>(VLOOKUP(V38,物品id!A:E,5,FALSE)*挂机玩法填表!Z38+VLOOKUP(挂机玩法填表!W38,物品id!A:E,5,FALSE)*挂机玩法填表!AA38)/(U38/60)</f>
        <v>17.178999999999998</v>
      </c>
      <c r="AD38" s="17" t="str">
        <f>IF(G38="","",VLOOKUP(G38,物品id!$A:$B,2,FALSE)&amp;",")</f>
        <v>3111,</v>
      </c>
      <c r="AE38" s="17" t="str">
        <f>IF(H38="","",VLOOKUP(H38,物品id!$A:$B,2,FALSE)&amp;",")</f>
        <v>3211,</v>
      </c>
      <c r="AF38" s="17" t="str">
        <f>IF(I38="","",VLOOKUP(I38,物品id!$A:$B,2,FALSE)&amp;",")</f>
        <v/>
      </c>
      <c r="AG38" s="36" t="str">
        <f t="shared" si="109"/>
        <v>3111,3211,</v>
      </c>
      <c r="AH38" s="36" t="str">
        <f t="shared" si="110"/>
        <v>[3111,3211]</v>
      </c>
      <c r="AI38" s="17" t="str">
        <f t="shared" si="100"/>
        <v>3,</v>
      </c>
      <c r="AJ38" s="17" t="str">
        <f t="shared" si="101"/>
        <v>3,</v>
      </c>
      <c r="AK38" s="17" t="str">
        <f t="shared" si="102"/>
        <v/>
      </c>
      <c r="AL38" s="36" t="str">
        <f t="shared" si="111"/>
        <v>3,3,</v>
      </c>
      <c r="AM38" s="36" t="str">
        <f t="shared" si="112"/>
        <v>[3,3]</v>
      </c>
      <c r="AN38" s="36" t="str">
        <f>VLOOKUP(T38,物品id!$A:$B,2,FALSE)&amp;","</f>
        <v>102,</v>
      </c>
      <c r="AO38" s="17" t="str">
        <f t="shared" si="8"/>
        <v>[102]</v>
      </c>
      <c r="AP38" s="36" t="str">
        <f t="shared" si="3"/>
        <v>120,</v>
      </c>
      <c r="AQ38" s="17" t="str">
        <f t="shared" si="9"/>
        <v>[120]</v>
      </c>
      <c r="AR38" s="36" t="str">
        <f>IF(V38="","",VLOOKUP(V38,物品id!$A:$B,2,FALSE)&amp;",")</f>
        <v>20034,</v>
      </c>
      <c r="AS38" s="36" t="str">
        <f>IF(W38="","",VLOOKUP(W38,物品id!$A:$B,2,FALSE)&amp;",")</f>
        <v>102,</v>
      </c>
      <c r="AT38" s="36" t="str">
        <f t="shared" si="113"/>
        <v>20034,102,</v>
      </c>
      <c r="AU38" s="36" t="str">
        <f t="shared" si="114"/>
        <v>[20034,102]</v>
      </c>
      <c r="AV38" s="36" t="str">
        <f t="shared" si="4"/>
        <v>1,</v>
      </c>
      <c r="AW38" s="36" t="str">
        <f t="shared" si="5"/>
        <v>240,</v>
      </c>
      <c r="AX38" s="36" t="str">
        <f t="shared" si="115"/>
        <v>1,240,</v>
      </c>
      <c r="AY38" s="36" t="str">
        <f t="shared" si="116"/>
        <v>[1,240]</v>
      </c>
    </row>
    <row r="39" spans="1:51" s="36" customFormat="1" x14ac:dyDescent="0.2">
      <c r="A39" s="36">
        <v>2</v>
      </c>
      <c r="B39" s="36" t="s">
        <v>1037</v>
      </c>
      <c r="C39" s="36">
        <v>14</v>
      </c>
      <c r="D39" s="34" t="s">
        <v>1152</v>
      </c>
      <c r="E39" s="36" t="s">
        <v>135</v>
      </c>
      <c r="F39" s="36">
        <v>3</v>
      </c>
      <c r="G39" s="36" t="s">
        <v>1112</v>
      </c>
      <c r="H39" s="36" t="s">
        <v>815</v>
      </c>
      <c r="J39" s="17">
        <v>0.5</v>
      </c>
      <c r="K39" s="17">
        <v>0.5</v>
      </c>
      <c r="L39" s="17">
        <v>1</v>
      </c>
      <c r="M39" s="35">
        <f>(IF(G39="",挂机玩法规划!$L$2,VLOOKUP(G39,物品id!A:D,4,FALSE)*IF(J39=0,1,4))*IF(J39=0,1,J39)+IF(H39="",挂机玩法规划!$L$2,VLOOKUP(H39,物品id!A:D,4,FALSE)*IF(K39=0,1,4))*IF(K39=0,1,K39)+IF(I39="",挂机玩法规划!$L$2,VLOOKUP(I39,物品id!A:D,4,FALSE)*IF(L39=0,1,4))*IF(L39=0,1,L39))/O39</f>
        <v>0.6</v>
      </c>
      <c r="N39" s="44">
        <f>IF(G39="",挂机玩法规划!$L$2,VLOOKUP(G39,物品id!A:D,4,FALSE)*4)+IF(H39="",挂机玩法规划!$L$2,VLOOKUP(H39,物品id!A:D,4,FALSE)*4)+IF(I39="",挂机玩法规划!$L$2,VLOOKUP(I39,物品id!A:D,4,FALSE)*4)</f>
        <v>170</v>
      </c>
      <c r="O39" s="45">
        <v>150</v>
      </c>
      <c r="P39" s="36">
        <v>3</v>
      </c>
      <c r="Q39" s="36">
        <v>3</v>
      </c>
      <c r="R39" s="36" t="s">
        <v>1131</v>
      </c>
      <c r="S39" s="36">
        <v>240</v>
      </c>
      <c r="T39" s="36" t="s">
        <v>835</v>
      </c>
      <c r="U39" s="36">
        <v>240</v>
      </c>
      <c r="V39" s="36" t="s">
        <v>838</v>
      </c>
      <c r="W39" s="36" t="s">
        <v>200</v>
      </c>
      <c r="X39" s="36">
        <v>2</v>
      </c>
      <c r="Y39" s="36">
        <f>U39*挂机玩法规划!$O$4*VLOOKUP(E39,挂机玩法规划!$G$2:$I$17,3,FALSE)</f>
        <v>480</v>
      </c>
      <c r="Z39" s="17">
        <f t="shared" si="6"/>
        <v>1.2</v>
      </c>
      <c r="AA39" s="17">
        <f t="shared" si="7"/>
        <v>288</v>
      </c>
      <c r="AB39" s="17">
        <f>(VLOOKUP(V39,物品id!A:E,5,FALSE)*挂机玩法填表!Z39+VLOOKUP(挂机玩法填表!W39,物品id!A:E,5,FALSE)*挂机玩法填表!AA39)/(U39/60)</f>
        <v>15.084</v>
      </c>
      <c r="AD39" s="17" t="str">
        <f>IF(G39="","",VLOOKUP(G39,物品id!$A:$B,2,FALSE)&amp;",")</f>
        <v>1211,</v>
      </c>
      <c r="AE39" s="17" t="str">
        <f>IF(H39="","",VLOOKUP(H39,物品id!$A:$B,2,FALSE)&amp;",")</f>
        <v>2211,</v>
      </c>
      <c r="AF39" s="17" t="str">
        <f>IF(I39="","",VLOOKUP(I39,物品id!$A:$B,2,FALSE)&amp;",")</f>
        <v/>
      </c>
      <c r="AG39" s="36" t="str">
        <f t="shared" si="42"/>
        <v>1211,2211,</v>
      </c>
      <c r="AH39" s="36" t="str">
        <f t="shared" si="43"/>
        <v>[1211,2211]</v>
      </c>
      <c r="AI39" s="17" t="str">
        <f t="shared" si="100"/>
        <v>3,</v>
      </c>
      <c r="AJ39" s="17" t="str">
        <f t="shared" si="101"/>
        <v>3,</v>
      </c>
      <c r="AK39" s="17" t="str">
        <f t="shared" si="102"/>
        <v/>
      </c>
      <c r="AL39" s="36" t="str">
        <f t="shared" si="44"/>
        <v>3,3,</v>
      </c>
      <c r="AM39" s="36" t="str">
        <f t="shared" si="45"/>
        <v>[3,3]</v>
      </c>
      <c r="AN39" s="36" t="str">
        <f>VLOOKUP(T39,物品id!$A:$B,2,FALSE)&amp;","</f>
        <v>102,</v>
      </c>
      <c r="AO39" s="17" t="str">
        <f t="shared" si="8"/>
        <v>[102]</v>
      </c>
      <c r="AP39" s="36" t="str">
        <f t="shared" si="3"/>
        <v>240,</v>
      </c>
      <c r="AQ39" s="17" t="str">
        <f t="shared" si="9"/>
        <v>[240]</v>
      </c>
      <c r="AR39" s="36" t="str">
        <f>IF(V39="","",VLOOKUP(V39,物品id!$A:$B,2,FALSE)&amp;",")</f>
        <v>20034,</v>
      </c>
      <c r="AS39" s="36" t="str">
        <f>IF(W39="","",VLOOKUP(W39,物品id!$A:$B,2,FALSE)&amp;",")</f>
        <v>102,</v>
      </c>
      <c r="AT39" s="36" t="str">
        <f t="shared" si="46"/>
        <v>20034,102,</v>
      </c>
      <c r="AU39" s="36" t="str">
        <f t="shared" si="47"/>
        <v>[20034,102]</v>
      </c>
      <c r="AV39" s="36" t="str">
        <f t="shared" si="4"/>
        <v>2,</v>
      </c>
      <c r="AW39" s="36" t="str">
        <f t="shared" si="5"/>
        <v>480,</v>
      </c>
      <c r="AX39" s="36" t="str">
        <f t="shared" si="48"/>
        <v>2,480,</v>
      </c>
      <c r="AY39" s="36" t="str">
        <f t="shared" si="49"/>
        <v>[2,480]</v>
      </c>
    </row>
    <row r="40" spans="1:51" s="36" customFormat="1" x14ac:dyDescent="0.2">
      <c r="A40" s="36">
        <v>2</v>
      </c>
      <c r="B40" s="36" t="s">
        <v>1037</v>
      </c>
      <c r="C40" s="36">
        <v>14</v>
      </c>
      <c r="D40" s="34" t="s">
        <v>1152</v>
      </c>
      <c r="E40" s="36" t="s">
        <v>135</v>
      </c>
      <c r="F40" s="36">
        <v>3</v>
      </c>
      <c r="G40" s="36" t="s">
        <v>804</v>
      </c>
      <c r="H40" s="36" t="s">
        <v>1111</v>
      </c>
      <c r="J40" s="17">
        <v>0.5</v>
      </c>
      <c r="K40" s="17">
        <v>0.5</v>
      </c>
      <c r="L40" s="17">
        <v>1</v>
      </c>
      <c r="M40" s="35">
        <f>(IF(G40="",挂机玩法规划!$L$2,VLOOKUP(G40,物品id!A:D,4,FALSE)*IF(J40=0,1,4))*IF(J40=0,1,J40)+IF(H40="",挂机玩法规划!$L$2,VLOOKUP(H40,物品id!A:D,4,FALSE)*IF(K40=0,1,4))*IF(K40=0,1,K40)+IF(I40="",挂机玩法规划!$L$2,VLOOKUP(I40,物品id!A:D,4,FALSE)*IF(L40=0,1,4))*IF(L40=0,1,L40))/O40</f>
        <v>0.6</v>
      </c>
      <c r="N40" s="44">
        <f>IF(G40="",挂机玩法规划!$L$2,VLOOKUP(G40,物品id!A:D,4,FALSE)*4)+IF(H40="",挂机玩法规划!$L$2,VLOOKUP(H40,物品id!A:D,4,FALSE)*4)+IF(I40="",挂机玩法规划!$L$2,VLOOKUP(I40,物品id!A:D,4,FALSE)*4)</f>
        <v>170</v>
      </c>
      <c r="O40" s="45">
        <v>150</v>
      </c>
      <c r="P40" s="36">
        <v>3</v>
      </c>
      <c r="Q40" s="36">
        <v>3</v>
      </c>
      <c r="R40" s="36" t="s">
        <v>1131</v>
      </c>
      <c r="S40" s="36">
        <v>240</v>
      </c>
      <c r="T40" s="36" t="s">
        <v>835</v>
      </c>
      <c r="U40" s="36">
        <v>240</v>
      </c>
      <c r="V40" s="36" t="s">
        <v>838</v>
      </c>
      <c r="W40" s="36" t="s">
        <v>200</v>
      </c>
      <c r="X40" s="36">
        <v>2</v>
      </c>
      <c r="Y40" s="36">
        <f>U40*挂机玩法规划!$O$4*VLOOKUP(E40,挂机玩法规划!$G$2:$I$17,3,FALSE)</f>
        <v>480</v>
      </c>
      <c r="Z40" s="17">
        <f t="shared" si="6"/>
        <v>1.2</v>
      </c>
      <c r="AA40" s="17">
        <f t="shared" si="7"/>
        <v>288</v>
      </c>
      <c r="AB40" s="17">
        <f>(VLOOKUP(V40,物品id!A:E,5,FALSE)*挂机玩法填表!Z40+VLOOKUP(挂机玩法填表!W40,物品id!A:E,5,FALSE)*挂机玩法填表!AA40)/(U40/60)</f>
        <v>15.084</v>
      </c>
      <c r="AD40" s="17" t="str">
        <f>IF(G40="","",VLOOKUP(G40,物品id!$A:$B,2,FALSE)&amp;",")</f>
        <v>1211,</v>
      </c>
      <c r="AE40" s="17" t="str">
        <f>IF(H40="","",VLOOKUP(H40,物品id!$A:$B,2,FALSE)&amp;",")</f>
        <v>3211,</v>
      </c>
      <c r="AF40" s="17" t="str">
        <f>IF(I40="","",VLOOKUP(I40,物品id!$A:$B,2,FALSE)&amp;",")</f>
        <v/>
      </c>
      <c r="AG40" s="36" t="str">
        <f t="shared" ref="AG40:AG41" si="117">AD40&amp;AE40&amp;AF40</f>
        <v>1211,3211,</v>
      </c>
      <c r="AH40" s="36" t="str">
        <f t="shared" ref="AH40:AH41" si="118">"["&amp;LEFT(AG40,LEN(AG40)-1)&amp;"]"</f>
        <v>[1211,3211]</v>
      </c>
      <c r="AI40" s="17" t="str">
        <f t="shared" si="100"/>
        <v>3,</v>
      </c>
      <c r="AJ40" s="17" t="str">
        <f t="shared" si="101"/>
        <v>3,</v>
      </c>
      <c r="AK40" s="17" t="str">
        <f t="shared" si="102"/>
        <v/>
      </c>
      <c r="AL40" s="36" t="str">
        <f t="shared" ref="AL40:AL41" si="119">AI40&amp;AJ40&amp;AK40</f>
        <v>3,3,</v>
      </c>
      <c r="AM40" s="36" t="str">
        <f t="shared" ref="AM40:AM41" si="120">"["&amp;LEFT(AL40,LEN(AL40)-1)&amp;"]"</f>
        <v>[3,3]</v>
      </c>
      <c r="AN40" s="36" t="str">
        <f>VLOOKUP(T40,物品id!$A:$B,2,FALSE)&amp;","</f>
        <v>102,</v>
      </c>
      <c r="AO40" s="17" t="str">
        <f t="shared" si="8"/>
        <v>[102]</v>
      </c>
      <c r="AP40" s="36" t="str">
        <f t="shared" si="3"/>
        <v>240,</v>
      </c>
      <c r="AQ40" s="17" t="str">
        <f t="shared" si="9"/>
        <v>[240]</v>
      </c>
      <c r="AR40" s="36" t="str">
        <f>IF(V40="","",VLOOKUP(V40,物品id!$A:$B,2,FALSE)&amp;",")</f>
        <v>20034,</v>
      </c>
      <c r="AS40" s="36" t="str">
        <f>IF(W40="","",VLOOKUP(W40,物品id!$A:$B,2,FALSE)&amp;",")</f>
        <v>102,</v>
      </c>
      <c r="AT40" s="36" t="str">
        <f t="shared" ref="AT40:AT41" si="121">AR40&amp;AS40</f>
        <v>20034,102,</v>
      </c>
      <c r="AU40" s="36" t="str">
        <f t="shared" ref="AU40:AU41" si="122">"["&amp;LEFT(AT40,LEN(AT40)-1)&amp;"]"</f>
        <v>[20034,102]</v>
      </c>
      <c r="AV40" s="36" t="str">
        <f t="shared" si="4"/>
        <v>2,</v>
      </c>
      <c r="AW40" s="36" t="str">
        <f t="shared" si="5"/>
        <v>480,</v>
      </c>
      <c r="AX40" s="36" t="str">
        <f t="shared" ref="AX40:AX41" si="123">AV40&amp;AW40</f>
        <v>2,480,</v>
      </c>
      <c r="AY40" s="36" t="str">
        <f t="shared" ref="AY40:AY41" si="124">"["&amp;LEFT(AX40,LEN(AX40)-1)&amp;"]"</f>
        <v>[2,480]</v>
      </c>
    </row>
    <row r="41" spans="1:51" s="36" customFormat="1" x14ac:dyDescent="0.2">
      <c r="A41" s="36">
        <v>2</v>
      </c>
      <c r="B41" s="36" t="s">
        <v>1037</v>
      </c>
      <c r="C41" s="36">
        <v>14</v>
      </c>
      <c r="D41" s="34" t="s">
        <v>1152</v>
      </c>
      <c r="E41" s="36" t="s">
        <v>135</v>
      </c>
      <c r="F41" s="36">
        <v>3</v>
      </c>
      <c r="G41" s="36" t="s">
        <v>1110</v>
      </c>
      <c r="H41" s="36" t="s">
        <v>1111</v>
      </c>
      <c r="J41" s="17">
        <v>0.5</v>
      </c>
      <c r="K41" s="17">
        <v>0.5</v>
      </c>
      <c r="L41" s="17">
        <v>1</v>
      </c>
      <c r="M41" s="35">
        <f>(IF(G41="",挂机玩法规划!$L$2,VLOOKUP(G41,物品id!A:D,4,FALSE)*IF(J41=0,1,4))*IF(J41=0,1,J41)+IF(H41="",挂机玩法规划!$L$2,VLOOKUP(H41,物品id!A:D,4,FALSE)*IF(K41=0,1,4))*IF(K41=0,1,K41)+IF(I41="",挂机玩法规划!$L$2,VLOOKUP(I41,物品id!A:D,4,FALSE)*IF(L41=0,1,4))*IF(L41=0,1,L41))/O41</f>
        <v>0.6</v>
      </c>
      <c r="N41" s="44">
        <f>IF(G41="",挂机玩法规划!$L$2,VLOOKUP(G41,物品id!A:D,4,FALSE)*4)+IF(H41="",挂机玩法规划!$L$2,VLOOKUP(H41,物品id!A:D,4,FALSE)*4)+IF(I41="",挂机玩法规划!$L$2,VLOOKUP(I41,物品id!A:D,4,FALSE)*4)</f>
        <v>170</v>
      </c>
      <c r="O41" s="45">
        <v>150</v>
      </c>
      <c r="P41" s="36">
        <v>3</v>
      </c>
      <c r="Q41" s="36">
        <v>3</v>
      </c>
      <c r="R41" s="36" t="s">
        <v>1131</v>
      </c>
      <c r="S41" s="36">
        <v>240</v>
      </c>
      <c r="T41" s="36" t="s">
        <v>835</v>
      </c>
      <c r="U41" s="36">
        <v>240</v>
      </c>
      <c r="V41" s="36" t="s">
        <v>838</v>
      </c>
      <c r="W41" s="36" t="s">
        <v>200</v>
      </c>
      <c r="X41" s="36">
        <v>2</v>
      </c>
      <c r="Y41" s="36">
        <f>U41*挂机玩法规划!$O$4*VLOOKUP(E41,挂机玩法规划!$G$2:$I$17,3,FALSE)</f>
        <v>480</v>
      </c>
      <c r="Z41" s="17">
        <f t="shared" si="6"/>
        <v>1.2</v>
      </c>
      <c r="AA41" s="17">
        <f t="shared" si="7"/>
        <v>288</v>
      </c>
      <c r="AB41" s="17">
        <f>(VLOOKUP(V41,物品id!A:E,5,FALSE)*挂机玩法填表!Z41+VLOOKUP(挂机玩法填表!W41,物品id!A:E,5,FALSE)*挂机玩法填表!AA41)/(U41/60)</f>
        <v>15.084</v>
      </c>
      <c r="AD41" s="17" t="str">
        <f>IF(G41="","",VLOOKUP(G41,物品id!$A:$B,2,FALSE)&amp;",")</f>
        <v>2211,</v>
      </c>
      <c r="AE41" s="17" t="str">
        <f>IF(H41="","",VLOOKUP(H41,物品id!$A:$B,2,FALSE)&amp;",")</f>
        <v>3211,</v>
      </c>
      <c r="AF41" s="17" t="str">
        <f>IF(I41="","",VLOOKUP(I41,物品id!$A:$B,2,FALSE)&amp;",")</f>
        <v/>
      </c>
      <c r="AG41" s="36" t="str">
        <f t="shared" si="117"/>
        <v>2211,3211,</v>
      </c>
      <c r="AH41" s="36" t="str">
        <f t="shared" si="118"/>
        <v>[2211,3211]</v>
      </c>
      <c r="AI41" s="17" t="str">
        <f t="shared" si="100"/>
        <v>3,</v>
      </c>
      <c r="AJ41" s="17" t="str">
        <f t="shared" si="101"/>
        <v>3,</v>
      </c>
      <c r="AK41" s="17" t="str">
        <f t="shared" si="102"/>
        <v/>
      </c>
      <c r="AL41" s="36" t="str">
        <f t="shared" si="119"/>
        <v>3,3,</v>
      </c>
      <c r="AM41" s="36" t="str">
        <f t="shared" si="120"/>
        <v>[3,3]</v>
      </c>
      <c r="AN41" s="36" t="str">
        <f>VLOOKUP(T41,物品id!$A:$B,2,FALSE)&amp;","</f>
        <v>102,</v>
      </c>
      <c r="AO41" s="17" t="str">
        <f t="shared" si="8"/>
        <v>[102]</v>
      </c>
      <c r="AP41" s="36" t="str">
        <f t="shared" si="3"/>
        <v>240,</v>
      </c>
      <c r="AQ41" s="17" t="str">
        <f t="shared" si="9"/>
        <v>[240]</v>
      </c>
      <c r="AR41" s="36" t="str">
        <f>IF(V41="","",VLOOKUP(V41,物品id!$A:$B,2,FALSE)&amp;",")</f>
        <v>20034,</v>
      </c>
      <c r="AS41" s="36" t="str">
        <f>IF(W41="","",VLOOKUP(W41,物品id!$A:$B,2,FALSE)&amp;",")</f>
        <v>102,</v>
      </c>
      <c r="AT41" s="36" t="str">
        <f t="shared" si="121"/>
        <v>20034,102,</v>
      </c>
      <c r="AU41" s="36" t="str">
        <f t="shared" si="122"/>
        <v>[20034,102]</v>
      </c>
      <c r="AV41" s="36" t="str">
        <f t="shared" si="4"/>
        <v>2,</v>
      </c>
      <c r="AW41" s="36" t="str">
        <f t="shared" si="5"/>
        <v>480,</v>
      </c>
      <c r="AX41" s="36" t="str">
        <f t="shared" si="123"/>
        <v>2,480,</v>
      </c>
      <c r="AY41" s="36" t="str">
        <f t="shared" si="124"/>
        <v>[2,480]</v>
      </c>
    </row>
    <row r="42" spans="1:51" s="36" customFormat="1" x14ac:dyDescent="0.2">
      <c r="A42" s="36">
        <v>2</v>
      </c>
      <c r="B42" s="36" t="s">
        <v>1037</v>
      </c>
      <c r="C42" s="36">
        <v>15</v>
      </c>
      <c r="D42" s="34" t="s">
        <v>1153</v>
      </c>
      <c r="E42" s="36" t="s">
        <v>135</v>
      </c>
      <c r="F42" s="36">
        <v>3</v>
      </c>
      <c r="G42" s="36" t="s">
        <v>1112</v>
      </c>
      <c r="H42" s="36" t="s">
        <v>1110</v>
      </c>
      <c r="J42" s="17">
        <v>0.5</v>
      </c>
      <c r="K42" s="17">
        <v>0.5</v>
      </c>
      <c r="L42" s="17">
        <v>1</v>
      </c>
      <c r="M42" s="35">
        <f>(IF(G42="",挂机玩法规划!$L$2,VLOOKUP(G42,物品id!A:D,4,FALSE)*IF(J42=0,1,4))*IF(J42=0,1,J42)+IF(H42="",挂机玩法规划!$L$2,VLOOKUP(H42,物品id!A:D,4,FALSE)*IF(K42=0,1,4))*IF(K42=0,1,K42)+IF(I42="",挂机玩法规划!$L$2,VLOOKUP(I42,物品id!A:D,4,FALSE)*IF(L42=0,1,4))*IF(L42=0,1,L42))/O42</f>
        <v>0.6</v>
      </c>
      <c r="N42" s="44">
        <f>IF(G42="",挂机玩法规划!$L$2,VLOOKUP(G42,物品id!A:D,4,FALSE)*4)+IF(H42="",挂机玩法规划!$L$2,VLOOKUP(H42,物品id!A:D,4,FALSE)*4)+IF(I42="",挂机玩法规划!$L$2,VLOOKUP(I42,物品id!A:D,4,FALSE)*4)</f>
        <v>170</v>
      </c>
      <c r="O42" s="45">
        <v>150</v>
      </c>
      <c r="P42" s="36">
        <v>3</v>
      </c>
      <c r="Q42" s="36">
        <v>3</v>
      </c>
      <c r="R42" s="36" t="s">
        <v>1131</v>
      </c>
      <c r="S42" s="36">
        <v>480</v>
      </c>
      <c r="T42" s="36" t="s">
        <v>835</v>
      </c>
      <c r="U42" s="36">
        <v>480</v>
      </c>
      <c r="V42" s="36" t="s">
        <v>838</v>
      </c>
      <c r="W42" s="36" t="s">
        <v>200</v>
      </c>
      <c r="X42" s="36">
        <v>3</v>
      </c>
      <c r="Y42" s="36">
        <f>U42*挂机玩法规划!$O$4*VLOOKUP(E42,挂机玩法规划!$G$2:$I$17,3,FALSE)</f>
        <v>960</v>
      </c>
      <c r="Z42" s="17">
        <f t="shared" si="6"/>
        <v>1.7999999999999998</v>
      </c>
      <c r="AA42" s="17">
        <f t="shared" si="7"/>
        <v>576</v>
      </c>
      <c r="AB42" s="17">
        <f>(VLOOKUP(V42,物品id!A:E,5,FALSE)*挂机玩法填表!Z42+VLOOKUP(挂机玩法填表!W42,物品id!A:E,5,FALSE)*挂机玩法填表!AA42)/(U42/60)</f>
        <v>11.708999999999998</v>
      </c>
      <c r="AD42" s="17" t="str">
        <f>IF(G42="","",VLOOKUP(G42,物品id!$A:$B,2,FALSE)&amp;",")</f>
        <v>1211,</v>
      </c>
      <c r="AE42" s="17" t="str">
        <f>IF(H42="","",VLOOKUP(H42,物品id!$A:$B,2,FALSE)&amp;",")</f>
        <v>2211,</v>
      </c>
      <c r="AF42" s="17" t="str">
        <f>IF(I42="","",VLOOKUP(I42,物品id!$A:$B,2,FALSE)&amp;",")</f>
        <v/>
      </c>
      <c r="AG42" s="36" t="str">
        <f t="shared" si="42"/>
        <v>1211,2211,</v>
      </c>
      <c r="AH42" s="36" t="str">
        <f t="shared" si="43"/>
        <v>[1211,2211]</v>
      </c>
      <c r="AI42" s="17" t="str">
        <f t="shared" si="100"/>
        <v>3,</v>
      </c>
      <c r="AJ42" s="17" t="str">
        <f t="shared" si="101"/>
        <v>3,</v>
      </c>
      <c r="AK42" s="17" t="str">
        <f t="shared" si="102"/>
        <v/>
      </c>
      <c r="AL42" s="36" t="str">
        <f t="shared" si="44"/>
        <v>3,3,</v>
      </c>
      <c r="AM42" s="36" t="str">
        <f t="shared" si="45"/>
        <v>[3,3]</v>
      </c>
      <c r="AN42" s="36" t="str">
        <f>VLOOKUP(T42,物品id!$A:$B,2,FALSE)&amp;","</f>
        <v>102,</v>
      </c>
      <c r="AO42" s="17" t="str">
        <f t="shared" si="8"/>
        <v>[102]</v>
      </c>
      <c r="AP42" s="36" t="str">
        <f t="shared" si="3"/>
        <v>480,</v>
      </c>
      <c r="AQ42" s="17" t="str">
        <f t="shared" si="9"/>
        <v>[480]</v>
      </c>
      <c r="AR42" s="36" t="str">
        <f>IF(V42="","",VLOOKUP(V42,物品id!$A:$B,2,FALSE)&amp;",")</f>
        <v>20034,</v>
      </c>
      <c r="AS42" s="36" t="str">
        <f>IF(W42="","",VLOOKUP(W42,物品id!$A:$B,2,FALSE)&amp;",")</f>
        <v>102,</v>
      </c>
      <c r="AT42" s="36" t="str">
        <f t="shared" si="46"/>
        <v>20034,102,</v>
      </c>
      <c r="AU42" s="36" t="str">
        <f t="shared" si="47"/>
        <v>[20034,102]</v>
      </c>
      <c r="AV42" s="36" t="str">
        <f t="shared" si="4"/>
        <v>3,</v>
      </c>
      <c r="AW42" s="36" t="str">
        <f t="shared" si="5"/>
        <v>960,</v>
      </c>
      <c r="AX42" s="36" t="str">
        <f t="shared" si="48"/>
        <v>3,960,</v>
      </c>
      <c r="AY42" s="36" t="str">
        <f t="shared" si="49"/>
        <v>[3,960]</v>
      </c>
    </row>
    <row r="43" spans="1:51" s="36" customFormat="1" x14ac:dyDescent="0.2">
      <c r="A43" s="36">
        <v>2</v>
      </c>
      <c r="B43" s="36" t="s">
        <v>1037</v>
      </c>
      <c r="C43" s="36">
        <v>15</v>
      </c>
      <c r="D43" s="34" t="s">
        <v>1153</v>
      </c>
      <c r="E43" s="36" t="s">
        <v>135</v>
      </c>
      <c r="F43" s="36">
        <v>3</v>
      </c>
      <c r="G43" s="36" t="s">
        <v>804</v>
      </c>
      <c r="H43" s="36" t="s">
        <v>1111</v>
      </c>
      <c r="J43" s="17">
        <v>0.5</v>
      </c>
      <c r="K43" s="17">
        <v>0.5</v>
      </c>
      <c r="L43" s="17">
        <v>1</v>
      </c>
      <c r="M43" s="35">
        <f>(IF(G43="",挂机玩法规划!$L$2,VLOOKUP(G43,物品id!A:D,4,FALSE)*IF(J43=0,1,4))*IF(J43=0,1,J43)+IF(H43="",挂机玩法规划!$L$2,VLOOKUP(H43,物品id!A:D,4,FALSE)*IF(K43=0,1,4))*IF(K43=0,1,K43)+IF(I43="",挂机玩法规划!$L$2,VLOOKUP(I43,物品id!A:D,4,FALSE)*IF(L43=0,1,4))*IF(L43=0,1,L43))/O43</f>
        <v>0.6</v>
      </c>
      <c r="N43" s="44">
        <f>IF(G43="",挂机玩法规划!$L$2,VLOOKUP(G43,物品id!A:D,4,FALSE)*4)+IF(H43="",挂机玩法规划!$L$2,VLOOKUP(H43,物品id!A:D,4,FALSE)*4)+IF(I43="",挂机玩法规划!$L$2,VLOOKUP(I43,物品id!A:D,4,FALSE)*4)</f>
        <v>170</v>
      </c>
      <c r="O43" s="45">
        <v>150</v>
      </c>
      <c r="P43" s="36">
        <v>3</v>
      </c>
      <c r="Q43" s="36">
        <v>3</v>
      </c>
      <c r="R43" s="36" t="s">
        <v>1131</v>
      </c>
      <c r="S43" s="36">
        <v>480</v>
      </c>
      <c r="T43" s="36" t="s">
        <v>835</v>
      </c>
      <c r="U43" s="36">
        <v>480</v>
      </c>
      <c r="V43" s="36" t="s">
        <v>838</v>
      </c>
      <c r="W43" s="36" t="s">
        <v>200</v>
      </c>
      <c r="X43" s="36">
        <v>3</v>
      </c>
      <c r="Y43" s="36">
        <f>U43*挂机玩法规划!$O$4*VLOOKUP(E43,挂机玩法规划!$G$2:$I$17,3,FALSE)</f>
        <v>960</v>
      </c>
      <c r="Z43" s="17">
        <f t="shared" si="6"/>
        <v>1.7999999999999998</v>
      </c>
      <c r="AA43" s="17">
        <f t="shared" si="7"/>
        <v>576</v>
      </c>
      <c r="AB43" s="17">
        <f>(VLOOKUP(V43,物品id!A:E,5,FALSE)*挂机玩法填表!Z43+VLOOKUP(挂机玩法填表!W43,物品id!A:E,5,FALSE)*挂机玩法填表!AA43)/(U43/60)</f>
        <v>11.708999999999998</v>
      </c>
      <c r="AD43" s="17" t="str">
        <f>IF(G43="","",VLOOKUP(G43,物品id!$A:$B,2,FALSE)&amp;",")</f>
        <v>1211,</v>
      </c>
      <c r="AE43" s="17" t="str">
        <f>IF(H43="","",VLOOKUP(H43,物品id!$A:$B,2,FALSE)&amp;",")</f>
        <v>3211,</v>
      </c>
      <c r="AF43" s="17" t="str">
        <f>IF(I43="","",VLOOKUP(I43,物品id!$A:$B,2,FALSE)&amp;",")</f>
        <v/>
      </c>
      <c r="AG43" s="36" t="str">
        <f t="shared" ref="AG43:AG44" si="125">AD43&amp;AE43&amp;AF43</f>
        <v>1211,3211,</v>
      </c>
      <c r="AH43" s="36" t="str">
        <f t="shared" ref="AH43:AH44" si="126">"["&amp;LEFT(AG43,LEN(AG43)-1)&amp;"]"</f>
        <v>[1211,3211]</v>
      </c>
      <c r="AI43" s="17" t="str">
        <f t="shared" si="100"/>
        <v>3,</v>
      </c>
      <c r="AJ43" s="17" t="str">
        <f t="shared" si="101"/>
        <v>3,</v>
      </c>
      <c r="AK43" s="17" t="str">
        <f t="shared" si="102"/>
        <v/>
      </c>
      <c r="AL43" s="36" t="str">
        <f t="shared" ref="AL43:AL44" si="127">AI43&amp;AJ43&amp;AK43</f>
        <v>3,3,</v>
      </c>
      <c r="AM43" s="36" t="str">
        <f t="shared" ref="AM43:AM44" si="128">"["&amp;LEFT(AL43,LEN(AL43)-1)&amp;"]"</f>
        <v>[3,3]</v>
      </c>
      <c r="AN43" s="36" t="str">
        <f>VLOOKUP(T43,物品id!$A:$B,2,FALSE)&amp;","</f>
        <v>102,</v>
      </c>
      <c r="AO43" s="17" t="str">
        <f t="shared" si="8"/>
        <v>[102]</v>
      </c>
      <c r="AP43" s="36" t="str">
        <f t="shared" si="3"/>
        <v>480,</v>
      </c>
      <c r="AQ43" s="17" t="str">
        <f t="shared" si="9"/>
        <v>[480]</v>
      </c>
      <c r="AR43" s="36" t="str">
        <f>IF(V43="","",VLOOKUP(V43,物品id!$A:$B,2,FALSE)&amp;",")</f>
        <v>20034,</v>
      </c>
      <c r="AS43" s="36" t="str">
        <f>IF(W43="","",VLOOKUP(W43,物品id!$A:$B,2,FALSE)&amp;",")</f>
        <v>102,</v>
      </c>
      <c r="AT43" s="36" t="str">
        <f t="shared" ref="AT43:AT44" si="129">AR43&amp;AS43</f>
        <v>20034,102,</v>
      </c>
      <c r="AU43" s="36" t="str">
        <f t="shared" ref="AU43:AU44" si="130">"["&amp;LEFT(AT43,LEN(AT43)-1)&amp;"]"</f>
        <v>[20034,102]</v>
      </c>
      <c r="AV43" s="36" t="str">
        <f t="shared" si="4"/>
        <v>3,</v>
      </c>
      <c r="AW43" s="36" t="str">
        <f t="shared" si="5"/>
        <v>960,</v>
      </c>
      <c r="AX43" s="36" t="str">
        <f t="shared" ref="AX43:AX44" si="131">AV43&amp;AW43</f>
        <v>3,960,</v>
      </c>
      <c r="AY43" s="36" t="str">
        <f t="shared" ref="AY43:AY44" si="132">"["&amp;LEFT(AX43,LEN(AX43)-1)&amp;"]"</f>
        <v>[3,960]</v>
      </c>
    </row>
    <row r="44" spans="1:51" s="36" customFormat="1" x14ac:dyDescent="0.2">
      <c r="A44" s="36">
        <v>2</v>
      </c>
      <c r="B44" s="36" t="s">
        <v>1037</v>
      </c>
      <c r="C44" s="36">
        <v>15</v>
      </c>
      <c r="D44" s="34" t="s">
        <v>1153</v>
      </c>
      <c r="E44" s="36" t="s">
        <v>135</v>
      </c>
      <c r="F44" s="36">
        <v>3</v>
      </c>
      <c r="G44" s="36" t="s">
        <v>815</v>
      </c>
      <c r="H44" s="36" t="s">
        <v>1111</v>
      </c>
      <c r="J44" s="17">
        <v>0.5</v>
      </c>
      <c r="K44" s="17">
        <v>0.5</v>
      </c>
      <c r="L44" s="17">
        <v>1</v>
      </c>
      <c r="M44" s="35">
        <f>(IF(G44="",挂机玩法规划!$L$2,VLOOKUP(G44,物品id!A:D,4,FALSE)*IF(J44=0,1,4))*IF(J44=0,1,J44)+IF(H44="",挂机玩法规划!$L$2,VLOOKUP(H44,物品id!A:D,4,FALSE)*IF(K44=0,1,4))*IF(K44=0,1,K44)+IF(I44="",挂机玩法规划!$L$2,VLOOKUP(I44,物品id!A:D,4,FALSE)*IF(L44=0,1,4))*IF(L44=0,1,L44))/O44</f>
        <v>0.6</v>
      </c>
      <c r="N44" s="44">
        <f>IF(G44="",挂机玩法规划!$L$2,VLOOKUP(G44,物品id!A:D,4,FALSE)*4)+IF(H44="",挂机玩法规划!$L$2,VLOOKUP(H44,物品id!A:D,4,FALSE)*4)+IF(I44="",挂机玩法规划!$L$2,VLOOKUP(I44,物品id!A:D,4,FALSE)*4)</f>
        <v>170</v>
      </c>
      <c r="O44" s="45">
        <v>150</v>
      </c>
      <c r="P44" s="36">
        <v>3</v>
      </c>
      <c r="Q44" s="36">
        <v>3</v>
      </c>
      <c r="R44" s="36" t="s">
        <v>1131</v>
      </c>
      <c r="S44" s="36">
        <v>480</v>
      </c>
      <c r="T44" s="36" t="s">
        <v>835</v>
      </c>
      <c r="U44" s="36">
        <v>480</v>
      </c>
      <c r="V44" s="36" t="s">
        <v>838</v>
      </c>
      <c r="W44" s="36" t="s">
        <v>200</v>
      </c>
      <c r="X44" s="36">
        <v>3</v>
      </c>
      <c r="Y44" s="36">
        <f>U44*挂机玩法规划!$O$4*VLOOKUP(E44,挂机玩法规划!$G$2:$I$17,3,FALSE)</f>
        <v>960</v>
      </c>
      <c r="Z44" s="17">
        <f t="shared" si="6"/>
        <v>1.7999999999999998</v>
      </c>
      <c r="AA44" s="17">
        <f t="shared" si="7"/>
        <v>576</v>
      </c>
      <c r="AB44" s="17">
        <f>(VLOOKUP(V44,物品id!A:E,5,FALSE)*挂机玩法填表!Z44+VLOOKUP(挂机玩法填表!W44,物品id!A:E,5,FALSE)*挂机玩法填表!AA44)/(U44/60)</f>
        <v>11.708999999999998</v>
      </c>
      <c r="AD44" s="17" t="str">
        <f>IF(G44="","",VLOOKUP(G44,物品id!$A:$B,2,FALSE)&amp;",")</f>
        <v>2211,</v>
      </c>
      <c r="AE44" s="17" t="str">
        <f>IF(H44="","",VLOOKUP(H44,物品id!$A:$B,2,FALSE)&amp;",")</f>
        <v>3211,</v>
      </c>
      <c r="AF44" s="17" t="str">
        <f>IF(I44="","",VLOOKUP(I44,物品id!$A:$B,2,FALSE)&amp;",")</f>
        <v/>
      </c>
      <c r="AG44" s="36" t="str">
        <f t="shared" si="125"/>
        <v>2211,3211,</v>
      </c>
      <c r="AH44" s="36" t="str">
        <f t="shared" si="126"/>
        <v>[2211,3211]</v>
      </c>
      <c r="AI44" s="17" t="str">
        <f t="shared" si="100"/>
        <v>3,</v>
      </c>
      <c r="AJ44" s="17" t="str">
        <f t="shared" si="101"/>
        <v>3,</v>
      </c>
      <c r="AK44" s="17" t="str">
        <f t="shared" si="102"/>
        <v/>
      </c>
      <c r="AL44" s="36" t="str">
        <f t="shared" si="127"/>
        <v>3,3,</v>
      </c>
      <c r="AM44" s="36" t="str">
        <f t="shared" si="128"/>
        <v>[3,3]</v>
      </c>
      <c r="AN44" s="36" t="str">
        <f>VLOOKUP(T44,物品id!$A:$B,2,FALSE)&amp;","</f>
        <v>102,</v>
      </c>
      <c r="AO44" s="17" t="str">
        <f t="shared" si="8"/>
        <v>[102]</v>
      </c>
      <c r="AP44" s="36" t="str">
        <f t="shared" si="3"/>
        <v>480,</v>
      </c>
      <c r="AQ44" s="17" t="str">
        <f t="shared" si="9"/>
        <v>[480]</v>
      </c>
      <c r="AR44" s="36" t="str">
        <f>IF(V44="","",VLOOKUP(V44,物品id!$A:$B,2,FALSE)&amp;",")</f>
        <v>20034,</v>
      </c>
      <c r="AS44" s="36" t="str">
        <f>IF(W44="","",VLOOKUP(W44,物品id!$A:$B,2,FALSE)&amp;",")</f>
        <v>102,</v>
      </c>
      <c r="AT44" s="36" t="str">
        <f t="shared" si="129"/>
        <v>20034,102,</v>
      </c>
      <c r="AU44" s="36" t="str">
        <f t="shared" si="130"/>
        <v>[20034,102]</v>
      </c>
      <c r="AV44" s="36" t="str">
        <f t="shared" si="4"/>
        <v>3,</v>
      </c>
      <c r="AW44" s="36" t="str">
        <f t="shared" si="5"/>
        <v>960,</v>
      </c>
      <c r="AX44" s="36" t="str">
        <f t="shared" si="131"/>
        <v>3,960,</v>
      </c>
      <c r="AY44" s="36" t="str">
        <f t="shared" si="132"/>
        <v>[3,960]</v>
      </c>
    </row>
    <row r="45" spans="1:51" s="36" customFormat="1" x14ac:dyDescent="0.2">
      <c r="A45" s="36">
        <v>2</v>
      </c>
      <c r="B45" s="36" t="s">
        <v>1037</v>
      </c>
      <c r="C45" s="36">
        <v>16</v>
      </c>
      <c r="D45" s="34" t="s">
        <v>1154</v>
      </c>
      <c r="E45" s="36" t="s">
        <v>135</v>
      </c>
      <c r="F45" s="36">
        <v>3</v>
      </c>
      <c r="G45" s="36" t="s">
        <v>804</v>
      </c>
      <c r="H45" s="36" t="s">
        <v>815</v>
      </c>
      <c r="I45" s="36" t="s">
        <v>825</v>
      </c>
      <c r="J45" s="17">
        <v>0.5</v>
      </c>
      <c r="K45" s="17">
        <v>0.5</v>
      </c>
      <c r="L45" s="17">
        <v>0.5</v>
      </c>
      <c r="M45" s="35">
        <f>(IF(G45="",挂机玩法规划!$L$2,VLOOKUP(G45,物品id!A:D,4,FALSE)*IF(J45=0,1,4))*IF(J45=0,1,J45)+IF(H45="",挂机玩法规划!$L$2,VLOOKUP(H45,物品id!A:D,4,FALSE)*IF(K45=0,1,4))*IF(K45=0,1,K45)+IF(I45="",挂机玩法规划!$L$2,VLOOKUP(I45,物品id!A:D,4,FALSE)*IF(L45=0,1,4))*IF(L45=0,1,L45))/O45</f>
        <v>0.54545454545454541</v>
      </c>
      <c r="N45" s="44">
        <f>IF(G45="",挂机玩法规划!$L$2,VLOOKUP(G45,物品id!A:D,4,FALSE)*4)+IF(H45="",挂机玩法规划!$L$2,VLOOKUP(H45,物品id!A:D,4,FALSE)*4)+IF(I45="",挂机玩法规划!$L$2,VLOOKUP(I45,物品id!A:D,4,FALSE)*4)</f>
        <v>240</v>
      </c>
      <c r="O45" s="45">
        <v>220</v>
      </c>
      <c r="P45" s="36">
        <v>3</v>
      </c>
      <c r="Q45" s="36">
        <v>3</v>
      </c>
      <c r="R45" s="36">
        <v>3</v>
      </c>
      <c r="S45" s="36">
        <v>720</v>
      </c>
      <c r="T45" s="36" t="s">
        <v>835</v>
      </c>
      <c r="U45" s="36">
        <v>720</v>
      </c>
      <c r="V45" s="36" t="s">
        <v>838</v>
      </c>
      <c r="W45" s="36" t="s">
        <v>200</v>
      </c>
      <c r="X45" s="36">
        <v>4</v>
      </c>
      <c r="Y45" s="36">
        <f>U45*挂机玩法规划!$O$4*VLOOKUP(E45,挂机玩法规划!$G$2:$I$17,3,FALSE)</f>
        <v>1440</v>
      </c>
      <c r="Z45" s="17">
        <f t="shared" si="6"/>
        <v>2.1818181818181817</v>
      </c>
      <c r="AA45" s="17">
        <f t="shared" si="7"/>
        <v>785.45454545454538</v>
      </c>
      <c r="AB45" s="17">
        <f>(VLOOKUP(V45,物品id!A:E,5,FALSE)*挂机玩法填表!Z45+VLOOKUP(挂机玩法填表!W45,物品id!A:E,5,FALSE)*挂机玩法填表!AA45)/(U45/60)</f>
        <v>9.6218181818181812</v>
      </c>
      <c r="AD45" s="17" t="str">
        <f>IF(G45="","",VLOOKUP(G45,物品id!$A:$B,2,FALSE)&amp;",")</f>
        <v>1211,</v>
      </c>
      <c r="AE45" s="17" t="str">
        <f>IF(H45="","",VLOOKUP(H45,物品id!$A:$B,2,FALSE)&amp;",")</f>
        <v>2211,</v>
      </c>
      <c r="AF45" s="17" t="str">
        <f>IF(I45="","",VLOOKUP(I45,物品id!$A:$B,2,FALSE)&amp;",")</f>
        <v>3211,</v>
      </c>
      <c r="AG45" s="36" t="str">
        <f t="shared" si="42"/>
        <v>1211,2211,3211,</v>
      </c>
      <c r="AH45" s="36" t="str">
        <f t="shared" si="43"/>
        <v>[1211,2211,3211]</v>
      </c>
      <c r="AI45" s="17" t="str">
        <f t="shared" si="100"/>
        <v>3,</v>
      </c>
      <c r="AJ45" s="17" t="str">
        <f t="shared" si="101"/>
        <v>3,</v>
      </c>
      <c r="AK45" s="17" t="str">
        <f t="shared" si="102"/>
        <v>3,</v>
      </c>
      <c r="AL45" s="36" t="str">
        <f t="shared" si="44"/>
        <v>3,3,3,</v>
      </c>
      <c r="AM45" s="36" t="str">
        <f t="shared" si="45"/>
        <v>[3,3,3]</v>
      </c>
      <c r="AN45" s="36" t="str">
        <f>VLOOKUP(T45,物品id!$A:$B,2,FALSE)&amp;","</f>
        <v>102,</v>
      </c>
      <c r="AO45" s="17" t="str">
        <f t="shared" si="8"/>
        <v>[102]</v>
      </c>
      <c r="AP45" s="36" t="str">
        <f t="shared" si="3"/>
        <v>720,</v>
      </c>
      <c r="AQ45" s="17" t="str">
        <f t="shared" si="9"/>
        <v>[720]</v>
      </c>
      <c r="AR45" s="36" t="str">
        <f>IF(V45="","",VLOOKUP(V45,物品id!$A:$B,2,FALSE)&amp;",")</f>
        <v>20034,</v>
      </c>
      <c r="AS45" s="36" t="str">
        <f>IF(W45="","",VLOOKUP(W45,物品id!$A:$B,2,FALSE)&amp;",")</f>
        <v>102,</v>
      </c>
      <c r="AT45" s="36" t="str">
        <f t="shared" si="46"/>
        <v>20034,102,</v>
      </c>
      <c r="AU45" s="36" t="str">
        <f t="shared" si="47"/>
        <v>[20034,102]</v>
      </c>
      <c r="AV45" s="36" t="str">
        <f t="shared" si="4"/>
        <v>4,</v>
      </c>
      <c r="AW45" s="36" t="str">
        <f t="shared" si="5"/>
        <v>1440,</v>
      </c>
      <c r="AX45" s="36" t="str">
        <f t="shared" si="48"/>
        <v>4,1440,</v>
      </c>
      <c r="AY45" s="36" t="str">
        <f t="shared" si="49"/>
        <v>[4,1440]</v>
      </c>
    </row>
    <row r="46" spans="1:51" s="36" customFormat="1" x14ac:dyDescent="0.2">
      <c r="A46" s="36">
        <v>3</v>
      </c>
      <c r="B46" s="36" t="s">
        <v>1037</v>
      </c>
      <c r="C46" s="36">
        <v>17</v>
      </c>
      <c r="D46" s="34" t="s">
        <v>1155</v>
      </c>
      <c r="E46" s="36" t="s">
        <v>1031</v>
      </c>
      <c r="F46" s="36">
        <v>3</v>
      </c>
      <c r="G46" s="36" t="s">
        <v>1113</v>
      </c>
      <c r="H46" s="36" t="s">
        <v>1112</v>
      </c>
      <c r="I46" s="36" t="s">
        <v>1116</v>
      </c>
      <c r="J46" s="17">
        <v>0.8</v>
      </c>
      <c r="K46" s="17">
        <v>0.8</v>
      </c>
      <c r="L46" s="17">
        <v>0</v>
      </c>
      <c r="M46" s="35">
        <f>(IF(G46="",挂机玩法规划!$L$2,VLOOKUP(G46,物品id!A:D,4,FALSE)*IF(J46=0,1,4))*IF(J46=0,1,J46)+IF(H46="",挂机玩法规划!$L$2,VLOOKUP(H46,物品id!A:D,4,FALSE)*IF(K46=0,1,4))*IF(K46=0,1,K46)+IF(I46="",挂机玩法规划!$L$2,VLOOKUP(I46,物品id!A:D,4,FALSE)*IF(L46=0,1,4))*IF(L46=0,1,L46))/O46</f>
        <v>0.57999999999999996</v>
      </c>
      <c r="N46" s="44">
        <f>IF(G46="",挂机玩法规划!$L$2,VLOOKUP(G46,物品id!A:D,4,FALSE)*4)+IF(H46="",挂机玩法规划!$L$2,VLOOKUP(H46,物品id!A:D,4,FALSE)*4)+IF(I46="",挂机玩法规划!$L$2,VLOOKUP(I46,物品id!A:D,4,FALSE)*4)</f>
        <v>200</v>
      </c>
      <c r="O46" s="45">
        <v>200</v>
      </c>
      <c r="P46" s="36">
        <v>2</v>
      </c>
      <c r="Q46" s="36">
        <v>2</v>
      </c>
      <c r="R46" s="36">
        <v>2</v>
      </c>
      <c r="S46" s="36">
        <v>120</v>
      </c>
      <c r="T46" s="36" t="s">
        <v>835</v>
      </c>
      <c r="U46" s="36">
        <v>120</v>
      </c>
      <c r="V46" s="36" t="s">
        <v>838</v>
      </c>
      <c r="W46" s="36" t="s">
        <v>200</v>
      </c>
      <c r="X46" s="36">
        <v>2</v>
      </c>
      <c r="Y46" s="36">
        <f>U46*挂机玩法规划!$O$4*VLOOKUP(E46,挂机玩法规划!$G$2:$I$17,3,FALSE)</f>
        <v>720</v>
      </c>
      <c r="Z46" s="17">
        <f t="shared" si="6"/>
        <v>1.1599999999999999</v>
      </c>
      <c r="AA46" s="17">
        <f t="shared" si="7"/>
        <v>417.59999999999997</v>
      </c>
      <c r="AB46" s="17">
        <f>(VLOOKUP(V46,物品id!A:E,5,FALSE)*挂机玩法填表!Z46+VLOOKUP(挂机玩法填表!W46,物品id!A:E,5,FALSE)*挂机玩法填表!AA46)/(U46/60)</f>
        <v>30.693599999999996</v>
      </c>
      <c r="AD46" s="17" t="str">
        <f>IF(G46="","",VLOOKUP(G46,物品id!$A:$B,2,FALSE)&amp;",")</f>
        <v>1111,</v>
      </c>
      <c r="AE46" s="17" t="str">
        <f>IF(H46="","",VLOOKUP(H46,物品id!$A:$B,2,FALSE)&amp;",")</f>
        <v>1211,</v>
      </c>
      <c r="AF46" s="17" t="str">
        <f>IF(I46="","",VLOOKUP(I46,物品id!$A:$B,2,FALSE)&amp;",")</f>
        <v>1221,</v>
      </c>
      <c r="AG46" s="36" t="str">
        <f t="shared" si="42"/>
        <v>1111,1211,1221,</v>
      </c>
      <c r="AH46" s="36" t="str">
        <f t="shared" si="43"/>
        <v>[1111,1211,1221]</v>
      </c>
      <c r="AI46" s="17" t="str">
        <f t="shared" si="100"/>
        <v>2,</v>
      </c>
      <c r="AJ46" s="17" t="str">
        <f t="shared" si="101"/>
        <v>2,</v>
      </c>
      <c r="AK46" s="17" t="str">
        <f t="shared" si="102"/>
        <v>2,</v>
      </c>
      <c r="AL46" s="36" t="str">
        <f t="shared" si="44"/>
        <v>2,2,2,</v>
      </c>
      <c r="AM46" s="36" t="str">
        <f t="shared" si="45"/>
        <v>[2,2,2]</v>
      </c>
      <c r="AN46" s="36" t="str">
        <f>VLOOKUP(T46,物品id!$A:$B,2,FALSE)&amp;","</f>
        <v>102,</v>
      </c>
      <c r="AO46" s="17" t="str">
        <f t="shared" si="8"/>
        <v>[102]</v>
      </c>
      <c r="AP46" s="36" t="str">
        <f t="shared" si="3"/>
        <v>120,</v>
      </c>
      <c r="AQ46" s="17" t="str">
        <f t="shared" si="9"/>
        <v>[120]</v>
      </c>
      <c r="AR46" s="36" t="str">
        <f>IF(V46="","",VLOOKUP(V46,物品id!$A:$B,2,FALSE)&amp;",")</f>
        <v>20034,</v>
      </c>
      <c r="AS46" s="36" t="str">
        <f>IF(W46="","",VLOOKUP(W46,物品id!$A:$B,2,FALSE)&amp;",")</f>
        <v>102,</v>
      </c>
      <c r="AT46" s="36" t="str">
        <f t="shared" si="46"/>
        <v>20034,102,</v>
      </c>
      <c r="AU46" s="36" t="str">
        <f t="shared" si="47"/>
        <v>[20034,102]</v>
      </c>
      <c r="AV46" s="36" t="str">
        <f t="shared" si="4"/>
        <v>2,</v>
      </c>
      <c r="AW46" s="36" t="str">
        <f t="shared" si="5"/>
        <v>720,</v>
      </c>
      <c r="AX46" s="36" t="str">
        <f t="shared" si="48"/>
        <v>2,720,</v>
      </c>
      <c r="AY46" s="36" t="str">
        <f t="shared" si="49"/>
        <v>[2,720]</v>
      </c>
    </row>
    <row r="47" spans="1:51" s="36" customFormat="1" x14ac:dyDescent="0.2">
      <c r="A47" s="36">
        <v>3</v>
      </c>
      <c r="B47" s="36" t="s">
        <v>1037</v>
      </c>
      <c r="C47" s="36">
        <v>17</v>
      </c>
      <c r="D47" s="34" t="s">
        <v>1155</v>
      </c>
      <c r="E47" s="36" t="s">
        <v>1017</v>
      </c>
      <c r="F47" s="36">
        <v>3</v>
      </c>
      <c r="G47" s="36" t="s">
        <v>1114</v>
      </c>
      <c r="H47" s="36" t="s">
        <v>1110</v>
      </c>
      <c r="I47" s="36" t="s">
        <v>1117</v>
      </c>
      <c r="J47" s="17">
        <v>0.8</v>
      </c>
      <c r="K47" s="17">
        <v>0.8</v>
      </c>
      <c r="L47" s="17">
        <v>0</v>
      </c>
      <c r="M47" s="35">
        <f>(IF(G47="",挂机玩法规划!$L$2,VLOOKUP(G47,物品id!A:D,4,FALSE)*IF(J47=0,1,4))*IF(J47=0,1,J47)+IF(H47="",挂机玩法规划!$L$2,VLOOKUP(H47,物品id!A:D,4,FALSE)*IF(K47=0,1,4))*IF(K47=0,1,K47)+IF(I47="",挂机玩法规划!$L$2,VLOOKUP(I47,物品id!A:D,4,FALSE)*IF(L47=0,1,4))*IF(L47=0,1,L47))/O47</f>
        <v>0.57999999999999996</v>
      </c>
      <c r="N47" s="44">
        <f>IF(G47="",挂机玩法规划!$L$2,VLOOKUP(G47,物品id!A:D,4,FALSE)*4)+IF(H47="",挂机玩法规划!$L$2,VLOOKUP(H47,物品id!A:D,4,FALSE)*4)+IF(I47="",挂机玩法规划!$L$2,VLOOKUP(I47,物品id!A:D,4,FALSE)*4)</f>
        <v>200</v>
      </c>
      <c r="O47" s="45">
        <v>200</v>
      </c>
      <c r="P47" s="36">
        <v>2</v>
      </c>
      <c r="Q47" s="36">
        <v>2</v>
      </c>
      <c r="R47" s="36">
        <v>2</v>
      </c>
      <c r="S47" s="36">
        <v>120</v>
      </c>
      <c r="T47" s="36" t="s">
        <v>835</v>
      </c>
      <c r="U47" s="36">
        <v>120</v>
      </c>
      <c r="V47" s="36" t="s">
        <v>838</v>
      </c>
      <c r="W47" s="36" t="s">
        <v>200</v>
      </c>
      <c r="X47" s="36">
        <v>2</v>
      </c>
      <c r="Y47" s="36">
        <f>U47*挂机玩法规划!$O$4*VLOOKUP(E47,挂机玩法规划!$G$2:$I$17,3,FALSE)</f>
        <v>720</v>
      </c>
      <c r="Z47" s="17">
        <f t="shared" si="6"/>
        <v>1.1599999999999999</v>
      </c>
      <c r="AA47" s="17">
        <f t="shared" si="7"/>
        <v>417.59999999999997</v>
      </c>
      <c r="AB47" s="17">
        <f>(VLOOKUP(V47,物品id!A:E,5,FALSE)*挂机玩法填表!Z47+VLOOKUP(挂机玩法填表!W47,物品id!A:E,5,FALSE)*挂机玩法填表!AA47)/(U47/60)</f>
        <v>30.693599999999996</v>
      </c>
      <c r="AD47" s="17" t="str">
        <f>IF(G47="","",VLOOKUP(G47,物品id!$A:$B,2,FALSE)&amp;",")</f>
        <v>2111,</v>
      </c>
      <c r="AE47" s="17" t="str">
        <f>IF(H47="","",VLOOKUP(H47,物品id!$A:$B,2,FALSE)&amp;",")</f>
        <v>2211,</v>
      </c>
      <c r="AF47" s="17" t="str">
        <f>IF(I47="","",VLOOKUP(I47,物品id!$A:$B,2,FALSE)&amp;",")</f>
        <v>2221,</v>
      </c>
      <c r="AG47" s="36" t="str">
        <f t="shared" ref="AG47:AG48" si="133">AD47&amp;AE47&amp;AF47</f>
        <v>2111,2211,2221,</v>
      </c>
      <c r="AH47" s="36" t="str">
        <f t="shared" ref="AH47:AH48" si="134">"["&amp;LEFT(AG47,LEN(AG47)-1)&amp;"]"</f>
        <v>[2111,2211,2221]</v>
      </c>
      <c r="AI47" s="17" t="str">
        <f t="shared" si="100"/>
        <v>2,</v>
      </c>
      <c r="AJ47" s="17" t="str">
        <f t="shared" si="101"/>
        <v>2,</v>
      </c>
      <c r="AK47" s="17" t="str">
        <f t="shared" si="102"/>
        <v>2,</v>
      </c>
      <c r="AL47" s="36" t="str">
        <f t="shared" ref="AL47:AL48" si="135">AI47&amp;AJ47&amp;AK47</f>
        <v>2,2,2,</v>
      </c>
      <c r="AM47" s="36" t="str">
        <f t="shared" ref="AM47:AM48" si="136">"["&amp;LEFT(AL47,LEN(AL47)-1)&amp;"]"</f>
        <v>[2,2,2]</v>
      </c>
      <c r="AN47" s="36" t="str">
        <f>VLOOKUP(T47,物品id!$A:$B,2,FALSE)&amp;","</f>
        <v>102,</v>
      </c>
      <c r="AO47" s="17" t="str">
        <f t="shared" si="8"/>
        <v>[102]</v>
      </c>
      <c r="AP47" s="36" t="str">
        <f t="shared" si="3"/>
        <v>120,</v>
      </c>
      <c r="AQ47" s="17" t="str">
        <f t="shared" si="9"/>
        <v>[120]</v>
      </c>
      <c r="AR47" s="36" t="str">
        <f>IF(V47="","",VLOOKUP(V47,物品id!$A:$B,2,FALSE)&amp;",")</f>
        <v>20034,</v>
      </c>
      <c r="AS47" s="36" t="str">
        <f>IF(W47="","",VLOOKUP(W47,物品id!$A:$B,2,FALSE)&amp;",")</f>
        <v>102,</v>
      </c>
      <c r="AT47" s="36" t="str">
        <f t="shared" ref="AT47:AT48" si="137">AR47&amp;AS47</f>
        <v>20034,102,</v>
      </c>
      <c r="AU47" s="36" t="str">
        <f t="shared" ref="AU47:AU48" si="138">"["&amp;LEFT(AT47,LEN(AT47)-1)&amp;"]"</f>
        <v>[20034,102]</v>
      </c>
      <c r="AV47" s="36" t="str">
        <f t="shared" si="4"/>
        <v>2,</v>
      </c>
      <c r="AW47" s="36" t="str">
        <f t="shared" si="5"/>
        <v>720,</v>
      </c>
      <c r="AX47" s="36" t="str">
        <f t="shared" ref="AX47:AX48" si="139">AV47&amp;AW47</f>
        <v>2,720,</v>
      </c>
      <c r="AY47" s="36" t="str">
        <f t="shared" ref="AY47:AY48" si="140">"["&amp;LEFT(AX47,LEN(AX47)-1)&amp;"]"</f>
        <v>[2,720]</v>
      </c>
    </row>
    <row r="48" spans="1:51" s="36" customFormat="1" x14ac:dyDescent="0.2">
      <c r="A48" s="36">
        <v>3</v>
      </c>
      <c r="B48" s="36" t="s">
        <v>1037</v>
      </c>
      <c r="C48" s="36">
        <v>17</v>
      </c>
      <c r="D48" s="34" t="s">
        <v>1155</v>
      </c>
      <c r="E48" s="36" t="s">
        <v>1017</v>
      </c>
      <c r="F48" s="36">
        <v>3</v>
      </c>
      <c r="G48" s="36" t="s">
        <v>1115</v>
      </c>
      <c r="H48" s="36" t="s">
        <v>1111</v>
      </c>
      <c r="I48" s="36" t="s">
        <v>826</v>
      </c>
      <c r="J48" s="17">
        <v>0.8</v>
      </c>
      <c r="K48" s="17">
        <v>0.8</v>
      </c>
      <c r="L48" s="17">
        <v>0</v>
      </c>
      <c r="M48" s="35">
        <f>(IF(G48="",挂机玩法规划!$L$2,VLOOKUP(G48,物品id!A:D,4,FALSE)*IF(J48=0,1,4))*IF(J48=0,1,J48)+IF(H48="",挂机玩法规划!$L$2,VLOOKUP(H48,物品id!A:D,4,FALSE)*IF(K48=0,1,4))*IF(K48=0,1,K48)+IF(I48="",挂机玩法规划!$L$2,VLOOKUP(I48,物品id!A:D,4,FALSE)*IF(L48=0,1,4))*IF(L48=0,1,L48))/O48</f>
        <v>0.57999999999999996</v>
      </c>
      <c r="N48" s="44">
        <f>IF(G48="",挂机玩法规划!$L$2,VLOOKUP(G48,物品id!A:D,4,FALSE)*4)+IF(H48="",挂机玩法规划!$L$2,VLOOKUP(H48,物品id!A:D,4,FALSE)*4)+IF(I48="",挂机玩法规划!$L$2,VLOOKUP(I48,物品id!A:D,4,FALSE)*4)</f>
        <v>200</v>
      </c>
      <c r="O48" s="45">
        <v>200</v>
      </c>
      <c r="P48" s="36">
        <v>2</v>
      </c>
      <c r="Q48" s="36">
        <v>2</v>
      </c>
      <c r="R48" s="36">
        <v>2</v>
      </c>
      <c r="S48" s="36">
        <v>120</v>
      </c>
      <c r="T48" s="36" t="s">
        <v>835</v>
      </c>
      <c r="U48" s="36">
        <v>120</v>
      </c>
      <c r="V48" s="36" t="s">
        <v>838</v>
      </c>
      <c r="W48" s="36" t="s">
        <v>200</v>
      </c>
      <c r="X48" s="36">
        <v>2</v>
      </c>
      <c r="Y48" s="36">
        <f>U48*挂机玩法规划!$O$4*VLOOKUP(E48,挂机玩法规划!$G$2:$I$17,3,FALSE)</f>
        <v>720</v>
      </c>
      <c r="Z48" s="17">
        <f t="shared" si="6"/>
        <v>1.1599999999999999</v>
      </c>
      <c r="AA48" s="17">
        <f t="shared" si="7"/>
        <v>417.59999999999997</v>
      </c>
      <c r="AB48" s="17">
        <f>(VLOOKUP(V48,物品id!A:E,5,FALSE)*挂机玩法填表!Z48+VLOOKUP(挂机玩法填表!W48,物品id!A:E,5,FALSE)*挂机玩法填表!AA48)/(U48/60)</f>
        <v>30.693599999999996</v>
      </c>
      <c r="AD48" s="17" t="str">
        <f>IF(G48="","",VLOOKUP(G48,物品id!$A:$B,2,FALSE)&amp;",")</f>
        <v>3111,</v>
      </c>
      <c r="AE48" s="17" t="str">
        <f>IF(H48="","",VLOOKUP(H48,物品id!$A:$B,2,FALSE)&amp;",")</f>
        <v>3211,</v>
      </c>
      <c r="AF48" s="17" t="str">
        <f>IF(I48="","",VLOOKUP(I48,物品id!$A:$B,2,FALSE)&amp;",")</f>
        <v>3221,</v>
      </c>
      <c r="AG48" s="36" t="str">
        <f t="shared" si="133"/>
        <v>3111,3211,3221,</v>
      </c>
      <c r="AH48" s="36" t="str">
        <f t="shared" si="134"/>
        <v>[3111,3211,3221]</v>
      </c>
      <c r="AI48" s="17" t="str">
        <f t="shared" si="100"/>
        <v>2,</v>
      </c>
      <c r="AJ48" s="17" t="str">
        <f t="shared" si="101"/>
        <v>2,</v>
      </c>
      <c r="AK48" s="17" t="str">
        <f t="shared" si="102"/>
        <v>2,</v>
      </c>
      <c r="AL48" s="36" t="str">
        <f t="shared" si="135"/>
        <v>2,2,2,</v>
      </c>
      <c r="AM48" s="36" t="str">
        <f t="shared" si="136"/>
        <v>[2,2,2]</v>
      </c>
      <c r="AN48" s="36" t="str">
        <f>VLOOKUP(T48,物品id!$A:$B,2,FALSE)&amp;","</f>
        <v>102,</v>
      </c>
      <c r="AO48" s="17" t="str">
        <f t="shared" si="8"/>
        <v>[102]</v>
      </c>
      <c r="AP48" s="36" t="str">
        <f t="shared" si="3"/>
        <v>120,</v>
      </c>
      <c r="AQ48" s="17" t="str">
        <f t="shared" si="9"/>
        <v>[120]</v>
      </c>
      <c r="AR48" s="36" t="str">
        <f>IF(V48="","",VLOOKUP(V48,物品id!$A:$B,2,FALSE)&amp;",")</f>
        <v>20034,</v>
      </c>
      <c r="AS48" s="36" t="str">
        <f>IF(W48="","",VLOOKUP(W48,物品id!$A:$B,2,FALSE)&amp;",")</f>
        <v>102,</v>
      </c>
      <c r="AT48" s="36" t="str">
        <f t="shared" si="137"/>
        <v>20034,102,</v>
      </c>
      <c r="AU48" s="36" t="str">
        <f t="shared" si="138"/>
        <v>[20034,102]</v>
      </c>
      <c r="AV48" s="36" t="str">
        <f t="shared" si="4"/>
        <v>2,</v>
      </c>
      <c r="AW48" s="36" t="str">
        <f t="shared" si="5"/>
        <v>720,</v>
      </c>
      <c r="AX48" s="36" t="str">
        <f t="shared" si="139"/>
        <v>2,720,</v>
      </c>
      <c r="AY48" s="36" t="str">
        <f t="shared" si="140"/>
        <v>[2,720]</v>
      </c>
    </row>
    <row r="49" spans="1:51" s="36" customFormat="1" x14ac:dyDescent="0.2">
      <c r="A49" s="36">
        <v>3</v>
      </c>
      <c r="B49" s="36" t="s">
        <v>1037</v>
      </c>
      <c r="C49" s="36">
        <v>18</v>
      </c>
      <c r="D49" s="34" t="s">
        <v>1156</v>
      </c>
      <c r="E49" s="36" t="s">
        <v>1031</v>
      </c>
      <c r="F49" s="36">
        <v>3</v>
      </c>
      <c r="G49" s="36" t="s">
        <v>803</v>
      </c>
      <c r="H49" s="36" t="s">
        <v>804</v>
      </c>
      <c r="I49" s="36" t="s">
        <v>805</v>
      </c>
      <c r="J49" s="17">
        <v>0.8</v>
      </c>
      <c r="K49" s="17">
        <v>0.8</v>
      </c>
      <c r="L49" s="17">
        <v>0</v>
      </c>
      <c r="M49" s="35">
        <f>(IF(G49="",挂机玩法规划!$L$2,VLOOKUP(G49,物品id!A:D,4,FALSE)*IF(J49=0,1,4))*IF(J49=0,1,J49)+IF(H49="",挂机玩法规划!$L$2,VLOOKUP(H49,物品id!A:D,4,FALSE)*IF(K49=0,1,4))*IF(K49=0,1,K49)+IF(I49="",挂机玩法规划!$L$2,VLOOKUP(I49,物品id!A:D,4,FALSE)*IF(L49=0,1,4))*IF(L49=0,1,L49))/O49</f>
        <v>0.57999999999999996</v>
      </c>
      <c r="N49" s="44">
        <f>IF(G49="",挂机玩法规划!$L$2,VLOOKUP(G49,物品id!A:D,4,FALSE)*4)+IF(H49="",挂机玩法规划!$L$2,VLOOKUP(H49,物品id!A:D,4,FALSE)*4)+IF(I49="",挂机玩法规划!$L$2,VLOOKUP(I49,物品id!A:D,4,FALSE)*4)</f>
        <v>200</v>
      </c>
      <c r="O49" s="45">
        <v>200</v>
      </c>
      <c r="P49" s="36">
        <v>2</v>
      </c>
      <c r="Q49" s="36">
        <v>2</v>
      </c>
      <c r="R49" s="36">
        <v>2</v>
      </c>
      <c r="S49" s="36">
        <v>240</v>
      </c>
      <c r="T49" s="36" t="s">
        <v>835</v>
      </c>
      <c r="U49" s="36">
        <v>240</v>
      </c>
      <c r="V49" s="36" t="s">
        <v>838</v>
      </c>
      <c r="W49" s="36" t="s">
        <v>200</v>
      </c>
      <c r="X49" s="36">
        <v>4</v>
      </c>
      <c r="Y49" s="36">
        <f>U49*挂机玩法规划!$O$4*VLOOKUP(E49,挂机玩法规划!$G$2:$I$17,3,FALSE)</f>
        <v>1440</v>
      </c>
      <c r="Z49" s="17">
        <f t="shared" si="6"/>
        <v>2.3199999999999998</v>
      </c>
      <c r="AA49" s="17">
        <f t="shared" si="7"/>
        <v>835.19999999999993</v>
      </c>
      <c r="AB49" s="17">
        <f>(VLOOKUP(V49,物品id!A:E,5,FALSE)*挂机玩法填表!Z49+VLOOKUP(挂机玩法填表!W49,物品id!A:E,5,FALSE)*挂机玩法填表!AA49)/(U49/60)</f>
        <v>30.693599999999996</v>
      </c>
      <c r="AD49" s="17" t="str">
        <f>IF(G49="","",VLOOKUP(G49,物品id!$A:$B,2,FALSE)&amp;",")</f>
        <v>1111,</v>
      </c>
      <c r="AE49" s="17" t="str">
        <f>IF(H49="","",VLOOKUP(H49,物品id!$A:$B,2,FALSE)&amp;",")</f>
        <v>1211,</v>
      </c>
      <c r="AF49" s="17" t="str">
        <f>IF(I49="","",VLOOKUP(I49,物品id!$A:$B,2,FALSE)&amp;",")</f>
        <v>1221,</v>
      </c>
      <c r="AG49" s="36" t="str">
        <f t="shared" si="42"/>
        <v>1111,1211,1221,</v>
      </c>
      <c r="AH49" s="36" t="str">
        <f t="shared" si="43"/>
        <v>[1111,1211,1221]</v>
      </c>
      <c r="AI49" s="17" t="str">
        <f t="shared" si="100"/>
        <v>2,</v>
      </c>
      <c r="AJ49" s="17" t="str">
        <f t="shared" si="101"/>
        <v>2,</v>
      </c>
      <c r="AK49" s="17" t="str">
        <f t="shared" si="102"/>
        <v>2,</v>
      </c>
      <c r="AL49" s="36" t="str">
        <f t="shared" si="44"/>
        <v>2,2,2,</v>
      </c>
      <c r="AM49" s="36" t="str">
        <f t="shared" si="45"/>
        <v>[2,2,2]</v>
      </c>
      <c r="AN49" s="36" t="str">
        <f>VLOOKUP(T49,物品id!$A:$B,2,FALSE)&amp;","</f>
        <v>102,</v>
      </c>
      <c r="AO49" s="17" t="str">
        <f t="shared" si="8"/>
        <v>[102]</v>
      </c>
      <c r="AP49" s="36" t="str">
        <f t="shared" si="3"/>
        <v>240,</v>
      </c>
      <c r="AQ49" s="17" t="str">
        <f t="shared" si="9"/>
        <v>[240]</v>
      </c>
      <c r="AR49" s="36" t="str">
        <f>IF(V49="","",VLOOKUP(V49,物品id!$A:$B,2,FALSE)&amp;",")</f>
        <v>20034,</v>
      </c>
      <c r="AS49" s="36" t="str">
        <f>IF(W49="","",VLOOKUP(W49,物品id!$A:$B,2,FALSE)&amp;",")</f>
        <v>102,</v>
      </c>
      <c r="AT49" s="36" t="str">
        <f t="shared" si="46"/>
        <v>20034,102,</v>
      </c>
      <c r="AU49" s="36" t="str">
        <f t="shared" si="47"/>
        <v>[20034,102]</v>
      </c>
      <c r="AV49" s="36" t="str">
        <f t="shared" si="4"/>
        <v>4,</v>
      </c>
      <c r="AW49" s="36" t="str">
        <f t="shared" si="5"/>
        <v>1440,</v>
      </c>
      <c r="AX49" s="36" t="str">
        <f t="shared" si="48"/>
        <v>4,1440,</v>
      </c>
      <c r="AY49" s="36" t="str">
        <f t="shared" si="49"/>
        <v>[4,1440]</v>
      </c>
    </row>
    <row r="50" spans="1:51" s="36" customFormat="1" x14ac:dyDescent="0.2">
      <c r="A50" s="36">
        <v>3</v>
      </c>
      <c r="B50" s="36" t="s">
        <v>1037</v>
      </c>
      <c r="C50" s="36">
        <v>18</v>
      </c>
      <c r="D50" s="34" t="s">
        <v>1156</v>
      </c>
      <c r="E50" s="36" t="s">
        <v>1017</v>
      </c>
      <c r="F50" s="36">
        <v>3</v>
      </c>
      <c r="G50" s="36" t="s">
        <v>814</v>
      </c>
      <c r="H50" s="36" t="s">
        <v>815</v>
      </c>
      <c r="I50" s="36" t="s">
        <v>816</v>
      </c>
      <c r="J50" s="17">
        <v>0.8</v>
      </c>
      <c r="K50" s="17">
        <v>0.8</v>
      </c>
      <c r="L50" s="17">
        <v>0</v>
      </c>
      <c r="M50" s="35">
        <f>(IF(G50="",挂机玩法规划!$L$2,VLOOKUP(G50,物品id!A:D,4,FALSE)*IF(J50=0,1,4))*IF(J50=0,1,J50)+IF(H50="",挂机玩法规划!$L$2,VLOOKUP(H50,物品id!A:D,4,FALSE)*IF(K50=0,1,4))*IF(K50=0,1,K50)+IF(I50="",挂机玩法规划!$L$2,VLOOKUP(I50,物品id!A:D,4,FALSE)*IF(L50=0,1,4))*IF(L50=0,1,L50))/O50</f>
        <v>0.57999999999999996</v>
      </c>
      <c r="N50" s="44">
        <f>IF(G50="",挂机玩法规划!$L$2,VLOOKUP(G50,物品id!A:D,4,FALSE)*4)+IF(H50="",挂机玩法规划!$L$2,VLOOKUP(H50,物品id!A:D,4,FALSE)*4)+IF(I50="",挂机玩法规划!$L$2,VLOOKUP(I50,物品id!A:D,4,FALSE)*4)</f>
        <v>200</v>
      </c>
      <c r="O50" s="45">
        <v>200</v>
      </c>
      <c r="P50" s="36">
        <v>2</v>
      </c>
      <c r="Q50" s="36">
        <v>2</v>
      </c>
      <c r="R50" s="36">
        <v>2</v>
      </c>
      <c r="S50" s="36">
        <v>240</v>
      </c>
      <c r="T50" s="36" t="s">
        <v>835</v>
      </c>
      <c r="U50" s="36">
        <v>240</v>
      </c>
      <c r="V50" s="36" t="s">
        <v>838</v>
      </c>
      <c r="W50" s="36" t="s">
        <v>200</v>
      </c>
      <c r="X50" s="36">
        <v>4</v>
      </c>
      <c r="Y50" s="36">
        <f>U50*挂机玩法规划!$O$4*VLOOKUP(E50,挂机玩法规划!$G$2:$I$17,3,FALSE)</f>
        <v>1440</v>
      </c>
      <c r="Z50" s="17">
        <f t="shared" si="6"/>
        <v>2.3199999999999998</v>
      </c>
      <c r="AA50" s="17">
        <f t="shared" si="7"/>
        <v>835.19999999999993</v>
      </c>
      <c r="AB50" s="17">
        <f>(VLOOKUP(V50,物品id!A:E,5,FALSE)*挂机玩法填表!Z50+VLOOKUP(挂机玩法填表!W50,物品id!A:E,5,FALSE)*挂机玩法填表!AA50)/(U50/60)</f>
        <v>30.693599999999996</v>
      </c>
      <c r="AD50" s="17" t="str">
        <f>IF(G50="","",VLOOKUP(G50,物品id!$A:$B,2,FALSE)&amp;",")</f>
        <v>2111,</v>
      </c>
      <c r="AE50" s="17" t="str">
        <f>IF(H50="","",VLOOKUP(H50,物品id!$A:$B,2,FALSE)&amp;",")</f>
        <v>2211,</v>
      </c>
      <c r="AF50" s="17" t="str">
        <f>IF(I50="","",VLOOKUP(I50,物品id!$A:$B,2,FALSE)&amp;",")</f>
        <v>2221,</v>
      </c>
      <c r="AG50" s="36" t="str">
        <f t="shared" ref="AG50:AG51" si="141">AD50&amp;AE50&amp;AF50</f>
        <v>2111,2211,2221,</v>
      </c>
      <c r="AH50" s="36" t="str">
        <f t="shared" ref="AH50:AH51" si="142">"["&amp;LEFT(AG50,LEN(AG50)-1)&amp;"]"</f>
        <v>[2111,2211,2221]</v>
      </c>
      <c r="AI50" s="17" t="str">
        <f t="shared" si="100"/>
        <v>2,</v>
      </c>
      <c r="AJ50" s="17" t="str">
        <f t="shared" si="101"/>
        <v>2,</v>
      </c>
      <c r="AK50" s="17" t="str">
        <f t="shared" si="102"/>
        <v>2,</v>
      </c>
      <c r="AL50" s="36" t="str">
        <f t="shared" ref="AL50:AL51" si="143">AI50&amp;AJ50&amp;AK50</f>
        <v>2,2,2,</v>
      </c>
      <c r="AM50" s="36" t="str">
        <f t="shared" ref="AM50:AM51" si="144">"["&amp;LEFT(AL50,LEN(AL50)-1)&amp;"]"</f>
        <v>[2,2,2]</v>
      </c>
      <c r="AN50" s="36" t="str">
        <f>VLOOKUP(T50,物品id!$A:$B,2,FALSE)&amp;","</f>
        <v>102,</v>
      </c>
      <c r="AO50" s="17" t="str">
        <f t="shared" si="8"/>
        <v>[102]</v>
      </c>
      <c r="AP50" s="36" t="str">
        <f t="shared" si="3"/>
        <v>240,</v>
      </c>
      <c r="AQ50" s="17" t="str">
        <f t="shared" si="9"/>
        <v>[240]</v>
      </c>
      <c r="AR50" s="36" t="str">
        <f>IF(V50="","",VLOOKUP(V50,物品id!$A:$B,2,FALSE)&amp;",")</f>
        <v>20034,</v>
      </c>
      <c r="AS50" s="36" t="str">
        <f>IF(W50="","",VLOOKUP(W50,物品id!$A:$B,2,FALSE)&amp;",")</f>
        <v>102,</v>
      </c>
      <c r="AT50" s="36" t="str">
        <f t="shared" ref="AT50:AT51" si="145">AR50&amp;AS50</f>
        <v>20034,102,</v>
      </c>
      <c r="AU50" s="36" t="str">
        <f t="shared" ref="AU50:AU51" si="146">"["&amp;LEFT(AT50,LEN(AT50)-1)&amp;"]"</f>
        <v>[20034,102]</v>
      </c>
      <c r="AV50" s="36" t="str">
        <f t="shared" si="4"/>
        <v>4,</v>
      </c>
      <c r="AW50" s="36" t="str">
        <f t="shared" si="5"/>
        <v>1440,</v>
      </c>
      <c r="AX50" s="36" t="str">
        <f t="shared" ref="AX50:AX51" si="147">AV50&amp;AW50</f>
        <v>4,1440,</v>
      </c>
      <c r="AY50" s="36" t="str">
        <f t="shared" ref="AY50:AY51" si="148">"["&amp;LEFT(AX50,LEN(AX50)-1)&amp;"]"</f>
        <v>[4,1440]</v>
      </c>
    </row>
    <row r="51" spans="1:51" s="36" customFormat="1" x14ac:dyDescent="0.2">
      <c r="A51" s="36">
        <v>3</v>
      </c>
      <c r="B51" s="36" t="s">
        <v>1037</v>
      </c>
      <c r="C51" s="36">
        <v>18</v>
      </c>
      <c r="D51" s="34" t="s">
        <v>1156</v>
      </c>
      <c r="E51" s="36" t="s">
        <v>1017</v>
      </c>
      <c r="F51" s="36">
        <v>3</v>
      </c>
      <c r="G51" s="36" t="s">
        <v>824</v>
      </c>
      <c r="H51" s="36" t="s">
        <v>825</v>
      </c>
      <c r="I51" s="36" t="s">
        <v>826</v>
      </c>
      <c r="J51" s="17">
        <v>0.8</v>
      </c>
      <c r="K51" s="17">
        <v>0.8</v>
      </c>
      <c r="L51" s="17">
        <v>0</v>
      </c>
      <c r="M51" s="35">
        <f>(IF(G51="",挂机玩法规划!$L$2,VLOOKUP(G51,物品id!A:D,4,FALSE)*IF(J51=0,1,4))*IF(J51=0,1,J51)+IF(H51="",挂机玩法规划!$L$2,VLOOKUP(H51,物品id!A:D,4,FALSE)*IF(K51=0,1,4))*IF(K51=0,1,K51)+IF(I51="",挂机玩法规划!$L$2,VLOOKUP(I51,物品id!A:D,4,FALSE)*IF(L51=0,1,4))*IF(L51=0,1,L51))/O51</f>
        <v>0.57999999999999996</v>
      </c>
      <c r="N51" s="44">
        <f>IF(G51="",挂机玩法规划!$L$2,VLOOKUP(G51,物品id!A:D,4,FALSE)*4)+IF(H51="",挂机玩法规划!$L$2,VLOOKUP(H51,物品id!A:D,4,FALSE)*4)+IF(I51="",挂机玩法规划!$L$2,VLOOKUP(I51,物品id!A:D,4,FALSE)*4)</f>
        <v>200</v>
      </c>
      <c r="O51" s="45">
        <v>200</v>
      </c>
      <c r="P51" s="36">
        <v>2</v>
      </c>
      <c r="Q51" s="36">
        <v>2</v>
      </c>
      <c r="R51" s="36">
        <v>2</v>
      </c>
      <c r="S51" s="36">
        <v>240</v>
      </c>
      <c r="T51" s="36" t="s">
        <v>835</v>
      </c>
      <c r="U51" s="36">
        <v>240</v>
      </c>
      <c r="V51" s="36" t="s">
        <v>838</v>
      </c>
      <c r="W51" s="36" t="s">
        <v>200</v>
      </c>
      <c r="X51" s="36">
        <v>4</v>
      </c>
      <c r="Y51" s="36">
        <f>U51*挂机玩法规划!$O$4*VLOOKUP(E51,挂机玩法规划!$G$2:$I$17,3,FALSE)</f>
        <v>1440</v>
      </c>
      <c r="Z51" s="17">
        <f t="shared" si="6"/>
        <v>2.3199999999999998</v>
      </c>
      <c r="AA51" s="17">
        <f t="shared" si="7"/>
        <v>835.19999999999993</v>
      </c>
      <c r="AB51" s="17">
        <f>(VLOOKUP(V51,物品id!A:E,5,FALSE)*挂机玩法填表!Z51+VLOOKUP(挂机玩法填表!W51,物品id!A:E,5,FALSE)*挂机玩法填表!AA51)/(U51/60)</f>
        <v>30.693599999999996</v>
      </c>
      <c r="AD51" s="17" t="str">
        <f>IF(G51="","",VLOOKUP(G51,物品id!$A:$B,2,FALSE)&amp;",")</f>
        <v>3111,</v>
      </c>
      <c r="AE51" s="17" t="str">
        <f>IF(H51="","",VLOOKUP(H51,物品id!$A:$B,2,FALSE)&amp;",")</f>
        <v>3211,</v>
      </c>
      <c r="AF51" s="17" t="str">
        <f>IF(I51="","",VLOOKUP(I51,物品id!$A:$B,2,FALSE)&amp;",")</f>
        <v>3221,</v>
      </c>
      <c r="AG51" s="36" t="str">
        <f t="shared" si="141"/>
        <v>3111,3211,3221,</v>
      </c>
      <c r="AH51" s="36" t="str">
        <f t="shared" si="142"/>
        <v>[3111,3211,3221]</v>
      </c>
      <c r="AI51" s="17" t="str">
        <f t="shared" si="100"/>
        <v>2,</v>
      </c>
      <c r="AJ51" s="17" t="str">
        <f t="shared" si="101"/>
        <v>2,</v>
      </c>
      <c r="AK51" s="17" t="str">
        <f t="shared" si="102"/>
        <v>2,</v>
      </c>
      <c r="AL51" s="36" t="str">
        <f t="shared" si="143"/>
        <v>2,2,2,</v>
      </c>
      <c r="AM51" s="36" t="str">
        <f t="shared" si="144"/>
        <v>[2,2,2]</v>
      </c>
      <c r="AN51" s="36" t="str">
        <f>VLOOKUP(T51,物品id!$A:$B,2,FALSE)&amp;","</f>
        <v>102,</v>
      </c>
      <c r="AO51" s="17" t="str">
        <f t="shared" si="8"/>
        <v>[102]</v>
      </c>
      <c r="AP51" s="36" t="str">
        <f t="shared" si="3"/>
        <v>240,</v>
      </c>
      <c r="AQ51" s="17" t="str">
        <f t="shared" si="9"/>
        <v>[240]</v>
      </c>
      <c r="AR51" s="36" t="str">
        <f>IF(V51="","",VLOOKUP(V51,物品id!$A:$B,2,FALSE)&amp;",")</f>
        <v>20034,</v>
      </c>
      <c r="AS51" s="36" t="str">
        <f>IF(W51="","",VLOOKUP(W51,物品id!$A:$B,2,FALSE)&amp;",")</f>
        <v>102,</v>
      </c>
      <c r="AT51" s="36" t="str">
        <f t="shared" si="145"/>
        <v>20034,102,</v>
      </c>
      <c r="AU51" s="36" t="str">
        <f t="shared" si="146"/>
        <v>[20034,102]</v>
      </c>
      <c r="AV51" s="36" t="str">
        <f t="shared" si="4"/>
        <v>4,</v>
      </c>
      <c r="AW51" s="36" t="str">
        <f t="shared" si="5"/>
        <v>1440,</v>
      </c>
      <c r="AX51" s="36" t="str">
        <f t="shared" si="147"/>
        <v>4,1440,</v>
      </c>
      <c r="AY51" s="36" t="str">
        <f t="shared" si="148"/>
        <v>[4,1440]</v>
      </c>
    </row>
    <row r="52" spans="1:51" s="36" customFormat="1" x14ac:dyDescent="0.2">
      <c r="A52" s="36">
        <v>3</v>
      </c>
      <c r="B52" s="36" t="s">
        <v>1037</v>
      </c>
      <c r="C52" s="36">
        <v>19</v>
      </c>
      <c r="D52" s="34" t="s">
        <v>1157</v>
      </c>
      <c r="E52" s="36" t="s">
        <v>1031</v>
      </c>
      <c r="F52" s="36">
        <v>3</v>
      </c>
      <c r="G52" s="36" t="s">
        <v>803</v>
      </c>
      <c r="H52" s="36" t="s">
        <v>804</v>
      </c>
      <c r="I52" s="36" t="s">
        <v>805</v>
      </c>
      <c r="J52" s="17">
        <v>0.8</v>
      </c>
      <c r="K52" s="17">
        <v>0.8</v>
      </c>
      <c r="L52" s="17">
        <v>0</v>
      </c>
      <c r="M52" s="35">
        <f>(IF(G52="",挂机玩法规划!$L$2,VLOOKUP(G52,物品id!A:D,4,FALSE)*IF(J52=0,1,4))*IF(J52=0,1,J52)+IF(H52="",挂机玩法规划!$L$2,VLOOKUP(H52,物品id!A:D,4,FALSE)*IF(K52=0,1,4))*IF(K52=0,1,K52)+IF(I52="",挂机玩法规划!$L$2,VLOOKUP(I52,物品id!A:D,4,FALSE)*IF(L52=0,1,4))*IF(L52=0,1,L52))/O52</f>
        <v>0.57999999999999996</v>
      </c>
      <c r="N52" s="44">
        <f>IF(G52="",挂机玩法规划!$L$2,VLOOKUP(G52,物品id!A:D,4,FALSE)*4)+IF(H52="",挂机玩法规划!$L$2,VLOOKUP(H52,物品id!A:D,4,FALSE)*4)+IF(I52="",挂机玩法规划!$L$2,VLOOKUP(I52,物品id!A:D,4,FALSE)*4)</f>
        <v>200</v>
      </c>
      <c r="O52" s="45">
        <v>200</v>
      </c>
      <c r="P52" s="36">
        <v>2</v>
      </c>
      <c r="Q52" s="36">
        <v>2</v>
      </c>
      <c r="R52" s="36">
        <v>2</v>
      </c>
      <c r="S52" s="36">
        <v>480</v>
      </c>
      <c r="T52" s="36" t="s">
        <v>835</v>
      </c>
      <c r="U52" s="36">
        <v>480</v>
      </c>
      <c r="V52" s="36" t="s">
        <v>838</v>
      </c>
      <c r="W52" s="36" t="s">
        <v>200</v>
      </c>
      <c r="X52" s="36">
        <v>6</v>
      </c>
      <c r="Y52" s="36">
        <f>U52*挂机玩法规划!$O$4*VLOOKUP(E52,挂机玩法规划!$G$2:$I$17,3,FALSE)</f>
        <v>2880</v>
      </c>
      <c r="Z52" s="17">
        <f t="shared" si="6"/>
        <v>3.4799999999999995</v>
      </c>
      <c r="AA52" s="17">
        <f t="shared" si="7"/>
        <v>1670.3999999999999</v>
      </c>
      <c r="AB52" s="17">
        <f>(VLOOKUP(V52,物品id!A:E,5,FALSE)*挂机玩法填表!Z52+VLOOKUP(挂机玩法填表!W52,物品id!A:E,5,FALSE)*挂机玩法填表!AA52)/(U52/60)</f>
        <v>24.168599999999994</v>
      </c>
      <c r="AD52" s="17" t="str">
        <f>IF(G52="","",VLOOKUP(G52,物品id!$A:$B,2,FALSE)&amp;",")</f>
        <v>1111,</v>
      </c>
      <c r="AE52" s="17" t="str">
        <f>IF(H52="","",VLOOKUP(H52,物品id!$A:$B,2,FALSE)&amp;",")</f>
        <v>1211,</v>
      </c>
      <c r="AF52" s="17" t="str">
        <f>IF(I52="","",VLOOKUP(I52,物品id!$A:$B,2,FALSE)&amp;",")</f>
        <v>1221,</v>
      </c>
      <c r="AG52" s="36" t="str">
        <f t="shared" si="42"/>
        <v>1111,1211,1221,</v>
      </c>
      <c r="AH52" s="36" t="str">
        <f t="shared" si="43"/>
        <v>[1111,1211,1221]</v>
      </c>
      <c r="AI52" s="17" t="str">
        <f t="shared" si="100"/>
        <v>2,</v>
      </c>
      <c r="AJ52" s="17" t="str">
        <f t="shared" si="101"/>
        <v>2,</v>
      </c>
      <c r="AK52" s="17" t="str">
        <f t="shared" si="102"/>
        <v>2,</v>
      </c>
      <c r="AL52" s="36" t="str">
        <f t="shared" si="44"/>
        <v>2,2,2,</v>
      </c>
      <c r="AM52" s="36" t="str">
        <f t="shared" si="45"/>
        <v>[2,2,2]</v>
      </c>
      <c r="AN52" s="36" t="str">
        <f>VLOOKUP(T52,物品id!$A:$B,2,FALSE)&amp;","</f>
        <v>102,</v>
      </c>
      <c r="AO52" s="17" t="str">
        <f t="shared" si="8"/>
        <v>[102]</v>
      </c>
      <c r="AP52" s="36" t="str">
        <f t="shared" si="3"/>
        <v>480,</v>
      </c>
      <c r="AQ52" s="17" t="str">
        <f t="shared" si="9"/>
        <v>[480]</v>
      </c>
      <c r="AR52" s="36" t="str">
        <f>IF(V52="","",VLOOKUP(V52,物品id!$A:$B,2,FALSE)&amp;",")</f>
        <v>20034,</v>
      </c>
      <c r="AS52" s="36" t="str">
        <f>IF(W52="","",VLOOKUP(W52,物品id!$A:$B,2,FALSE)&amp;",")</f>
        <v>102,</v>
      </c>
      <c r="AT52" s="36" t="str">
        <f t="shared" si="46"/>
        <v>20034,102,</v>
      </c>
      <c r="AU52" s="36" t="str">
        <f t="shared" si="47"/>
        <v>[20034,102]</v>
      </c>
      <c r="AV52" s="36" t="str">
        <f t="shared" si="4"/>
        <v>6,</v>
      </c>
      <c r="AW52" s="36" t="str">
        <f t="shared" si="5"/>
        <v>2880,</v>
      </c>
      <c r="AX52" s="36" t="str">
        <f t="shared" si="48"/>
        <v>6,2880,</v>
      </c>
      <c r="AY52" s="36" t="str">
        <f t="shared" si="49"/>
        <v>[6,2880]</v>
      </c>
    </row>
    <row r="53" spans="1:51" s="36" customFormat="1" x14ac:dyDescent="0.2">
      <c r="A53" s="36">
        <v>3</v>
      </c>
      <c r="B53" s="36" t="s">
        <v>1037</v>
      </c>
      <c r="C53" s="36">
        <v>19</v>
      </c>
      <c r="D53" s="34" t="s">
        <v>1157</v>
      </c>
      <c r="E53" s="36" t="s">
        <v>1017</v>
      </c>
      <c r="F53" s="36">
        <v>3</v>
      </c>
      <c r="G53" s="36" t="s">
        <v>814</v>
      </c>
      <c r="H53" s="36" t="s">
        <v>815</v>
      </c>
      <c r="I53" s="36" t="s">
        <v>816</v>
      </c>
      <c r="J53" s="17">
        <v>0.8</v>
      </c>
      <c r="K53" s="17">
        <v>0.8</v>
      </c>
      <c r="L53" s="17">
        <v>0</v>
      </c>
      <c r="M53" s="35">
        <f>(IF(G53="",挂机玩法规划!$L$2,VLOOKUP(G53,物品id!A:D,4,FALSE)*IF(J53=0,1,4))*IF(J53=0,1,J53)+IF(H53="",挂机玩法规划!$L$2,VLOOKUP(H53,物品id!A:D,4,FALSE)*IF(K53=0,1,4))*IF(K53=0,1,K53)+IF(I53="",挂机玩法规划!$L$2,VLOOKUP(I53,物品id!A:D,4,FALSE)*IF(L53=0,1,4))*IF(L53=0,1,L53))/O53</f>
        <v>0.57999999999999996</v>
      </c>
      <c r="N53" s="44">
        <f>IF(G53="",挂机玩法规划!$L$2,VLOOKUP(G53,物品id!A:D,4,FALSE)*4)+IF(H53="",挂机玩法规划!$L$2,VLOOKUP(H53,物品id!A:D,4,FALSE)*4)+IF(I53="",挂机玩法规划!$L$2,VLOOKUP(I53,物品id!A:D,4,FALSE)*4)</f>
        <v>200</v>
      </c>
      <c r="O53" s="45">
        <v>200</v>
      </c>
      <c r="P53" s="36">
        <v>2</v>
      </c>
      <c r="Q53" s="36">
        <v>2</v>
      </c>
      <c r="R53" s="36">
        <v>2</v>
      </c>
      <c r="S53" s="36">
        <v>480</v>
      </c>
      <c r="T53" s="36" t="s">
        <v>835</v>
      </c>
      <c r="U53" s="36">
        <v>480</v>
      </c>
      <c r="V53" s="36" t="s">
        <v>838</v>
      </c>
      <c r="W53" s="36" t="s">
        <v>200</v>
      </c>
      <c r="X53" s="36">
        <v>6</v>
      </c>
      <c r="Y53" s="36">
        <f>U53*挂机玩法规划!$O$4*VLOOKUP(E53,挂机玩法规划!$G$2:$I$17,3,FALSE)</f>
        <v>2880</v>
      </c>
      <c r="Z53" s="17">
        <f t="shared" si="6"/>
        <v>3.4799999999999995</v>
      </c>
      <c r="AA53" s="17">
        <f t="shared" si="7"/>
        <v>1670.3999999999999</v>
      </c>
      <c r="AB53" s="17">
        <f>(VLOOKUP(V53,物品id!A:E,5,FALSE)*挂机玩法填表!Z53+VLOOKUP(挂机玩法填表!W53,物品id!A:E,5,FALSE)*挂机玩法填表!AA53)/(U53/60)</f>
        <v>24.168599999999994</v>
      </c>
      <c r="AD53" s="17" t="str">
        <f>IF(G53="","",VLOOKUP(G53,物品id!$A:$B,2,FALSE)&amp;",")</f>
        <v>2111,</v>
      </c>
      <c r="AE53" s="17" t="str">
        <f>IF(H53="","",VLOOKUP(H53,物品id!$A:$B,2,FALSE)&amp;",")</f>
        <v>2211,</v>
      </c>
      <c r="AF53" s="17" t="str">
        <f>IF(I53="","",VLOOKUP(I53,物品id!$A:$B,2,FALSE)&amp;",")</f>
        <v>2221,</v>
      </c>
      <c r="AG53" s="36" t="str">
        <f t="shared" ref="AG53:AG54" si="149">AD53&amp;AE53&amp;AF53</f>
        <v>2111,2211,2221,</v>
      </c>
      <c r="AH53" s="36" t="str">
        <f t="shared" ref="AH53:AH54" si="150">"["&amp;LEFT(AG53,LEN(AG53)-1)&amp;"]"</f>
        <v>[2111,2211,2221]</v>
      </c>
      <c r="AI53" s="17" t="str">
        <f t="shared" si="100"/>
        <v>2,</v>
      </c>
      <c r="AJ53" s="17" t="str">
        <f t="shared" si="101"/>
        <v>2,</v>
      </c>
      <c r="AK53" s="17" t="str">
        <f t="shared" si="102"/>
        <v>2,</v>
      </c>
      <c r="AL53" s="36" t="str">
        <f t="shared" ref="AL53:AL54" si="151">AI53&amp;AJ53&amp;AK53</f>
        <v>2,2,2,</v>
      </c>
      <c r="AM53" s="36" t="str">
        <f t="shared" ref="AM53:AM54" si="152">"["&amp;LEFT(AL53,LEN(AL53)-1)&amp;"]"</f>
        <v>[2,2,2]</v>
      </c>
      <c r="AN53" s="36" t="str">
        <f>VLOOKUP(T53,物品id!$A:$B,2,FALSE)&amp;","</f>
        <v>102,</v>
      </c>
      <c r="AO53" s="17" t="str">
        <f t="shared" si="8"/>
        <v>[102]</v>
      </c>
      <c r="AP53" s="36" t="str">
        <f t="shared" si="3"/>
        <v>480,</v>
      </c>
      <c r="AQ53" s="17" t="str">
        <f t="shared" si="9"/>
        <v>[480]</v>
      </c>
      <c r="AR53" s="36" t="str">
        <f>IF(V53="","",VLOOKUP(V53,物品id!$A:$B,2,FALSE)&amp;",")</f>
        <v>20034,</v>
      </c>
      <c r="AS53" s="36" t="str">
        <f>IF(W53="","",VLOOKUP(W53,物品id!$A:$B,2,FALSE)&amp;",")</f>
        <v>102,</v>
      </c>
      <c r="AT53" s="36" t="str">
        <f t="shared" ref="AT53:AT54" si="153">AR53&amp;AS53</f>
        <v>20034,102,</v>
      </c>
      <c r="AU53" s="36" t="str">
        <f t="shared" ref="AU53:AU54" si="154">"["&amp;LEFT(AT53,LEN(AT53)-1)&amp;"]"</f>
        <v>[20034,102]</v>
      </c>
      <c r="AV53" s="36" t="str">
        <f t="shared" si="4"/>
        <v>6,</v>
      </c>
      <c r="AW53" s="36" t="str">
        <f t="shared" si="5"/>
        <v>2880,</v>
      </c>
      <c r="AX53" s="36" t="str">
        <f t="shared" ref="AX53:AX54" si="155">AV53&amp;AW53</f>
        <v>6,2880,</v>
      </c>
      <c r="AY53" s="36" t="str">
        <f t="shared" ref="AY53:AY54" si="156">"["&amp;LEFT(AX53,LEN(AX53)-1)&amp;"]"</f>
        <v>[6,2880]</v>
      </c>
    </row>
    <row r="54" spans="1:51" s="36" customFormat="1" x14ac:dyDescent="0.2">
      <c r="A54" s="36">
        <v>3</v>
      </c>
      <c r="B54" s="36" t="s">
        <v>1037</v>
      </c>
      <c r="C54" s="36">
        <v>19</v>
      </c>
      <c r="D54" s="34" t="s">
        <v>1157</v>
      </c>
      <c r="E54" s="36" t="s">
        <v>1017</v>
      </c>
      <c r="F54" s="36">
        <v>3</v>
      </c>
      <c r="G54" s="36" t="s">
        <v>824</v>
      </c>
      <c r="H54" s="36" t="s">
        <v>825</v>
      </c>
      <c r="I54" s="36" t="s">
        <v>826</v>
      </c>
      <c r="J54" s="17">
        <v>0.8</v>
      </c>
      <c r="K54" s="17">
        <v>0.8</v>
      </c>
      <c r="L54" s="17">
        <v>0</v>
      </c>
      <c r="M54" s="35">
        <f>(IF(G54="",挂机玩法规划!$L$2,VLOOKUP(G54,物品id!A:D,4,FALSE)*IF(J54=0,1,4))*IF(J54=0,1,J54)+IF(H54="",挂机玩法规划!$L$2,VLOOKUP(H54,物品id!A:D,4,FALSE)*IF(K54=0,1,4))*IF(K54=0,1,K54)+IF(I54="",挂机玩法规划!$L$2,VLOOKUP(I54,物品id!A:D,4,FALSE)*IF(L54=0,1,4))*IF(L54=0,1,L54))/O54</f>
        <v>0.57999999999999996</v>
      </c>
      <c r="N54" s="44">
        <f>IF(G54="",挂机玩法规划!$L$2,VLOOKUP(G54,物品id!A:D,4,FALSE)*4)+IF(H54="",挂机玩法规划!$L$2,VLOOKUP(H54,物品id!A:D,4,FALSE)*4)+IF(I54="",挂机玩法规划!$L$2,VLOOKUP(I54,物品id!A:D,4,FALSE)*4)</f>
        <v>200</v>
      </c>
      <c r="O54" s="45">
        <v>200</v>
      </c>
      <c r="P54" s="36">
        <v>2</v>
      </c>
      <c r="Q54" s="36">
        <v>2</v>
      </c>
      <c r="R54" s="36">
        <v>2</v>
      </c>
      <c r="S54" s="36">
        <v>480</v>
      </c>
      <c r="T54" s="36" t="s">
        <v>835</v>
      </c>
      <c r="U54" s="36">
        <v>480</v>
      </c>
      <c r="V54" s="36" t="s">
        <v>838</v>
      </c>
      <c r="W54" s="36" t="s">
        <v>200</v>
      </c>
      <c r="X54" s="36">
        <v>6</v>
      </c>
      <c r="Y54" s="36">
        <f>U54*挂机玩法规划!$O$4*VLOOKUP(E54,挂机玩法规划!$G$2:$I$17,3,FALSE)</f>
        <v>2880</v>
      </c>
      <c r="Z54" s="17">
        <f t="shared" si="6"/>
        <v>3.4799999999999995</v>
      </c>
      <c r="AA54" s="17">
        <f t="shared" si="7"/>
        <v>1670.3999999999999</v>
      </c>
      <c r="AB54" s="17">
        <f>(VLOOKUP(V54,物品id!A:E,5,FALSE)*挂机玩法填表!Z54+VLOOKUP(挂机玩法填表!W54,物品id!A:E,5,FALSE)*挂机玩法填表!AA54)/(U54/60)</f>
        <v>24.168599999999994</v>
      </c>
      <c r="AD54" s="17" t="str">
        <f>IF(G54="","",VLOOKUP(G54,物品id!$A:$B,2,FALSE)&amp;",")</f>
        <v>3111,</v>
      </c>
      <c r="AE54" s="17" t="str">
        <f>IF(H54="","",VLOOKUP(H54,物品id!$A:$B,2,FALSE)&amp;",")</f>
        <v>3211,</v>
      </c>
      <c r="AF54" s="17" t="str">
        <f>IF(I54="","",VLOOKUP(I54,物品id!$A:$B,2,FALSE)&amp;",")</f>
        <v>3221,</v>
      </c>
      <c r="AG54" s="36" t="str">
        <f t="shared" si="149"/>
        <v>3111,3211,3221,</v>
      </c>
      <c r="AH54" s="36" t="str">
        <f t="shared" si="150"/>
        <v>[3111,3211,3221]</v>
      </c>
      <c r="AI54" s="17" t="str">
        <f t="shared" si="100"/>
        <v>2,</v>
      </c>
      <c r="AJ54" s="17" t="str">
        <f t="shared" si="101"/>
        <v>2,</v>
      </c>
      <c r="AK54" s="17" t="str">
        <f t="shared" si="102"/>
        <v>2,</v>
      </c>
      <c r="AL54" s="36" t="str">
        <f t="shared" si="151"/>
        <v>2,2,2,</v>
      </c>
      <c r="AM54" s="36" t="str">
        <f t="shared" si="152"/>
        <v>[2,2,2]</v>
      </c>
      <c r="AN54" s="36" t="str">
        <f>VLOOKUP(T54,物品id!$A:$B,2,FALSE)&amp;","</f>
        <v>102,</v>
      </c>
      <c r="AO54" s="17" t="str">
        <f t="shared" si="8"/>
        <v>[102]</v>
      </c>
      <c r="AP54" s="36" t="str">
        <f t="shared" si="3"/>
        <v>480,</v>
      </c>
      <c r="AQ54" s="17" t="str">
        <f t="shared" si="9"/>
        <v>[480]</v>
      </c>
      <c r="AR54" s="36" t="str">
        <f>IF(V54="","",VLOOKUP(V54,物品id!$A:$B,2,FALSE)&amp;",")</f>
        <v>20034,</v>
      </c>
      <c r="AS54" s="36" t="str">
        <f>IF(W54="","",VLOOKUP(W54,物品id!$A:$B,2,FALSE)&amp;",")</f>
        <v>102,</v>
      </c>
      <c r="AT54" s="36" t="str">
        <f t="shared" si="153"/>
        <v>20034,102,</v>
      </c>
      <c r="AU54" s="36" t="str">
        <f t="shared" si="154"/>
        <v>[20034,102]</v>
      </c>
      <c r="AV54" s="36" t="str">
        <f t="shared" si="4"/>
        <v>6,</v>
      </c>
      <c r="AW54" s="36" t="str">
        <f t="shared" si="5"/>
        <v>2880,</v>
      </c>
      <c r="AX54" s="36" t="str">
        <f t="shared" si="155"/>
        <v>6,2880,</v>
      </c>
      <c r="AY54" s="36" t="str">
        <f t="shared" si="156"/>
        <v>[6,2880]</v>
      </c>
    </row>
    <row r="55" spans="1:51" s="36" customFormat="1" x14ac:dyDescent="0.2">
      <c r="A55" s="36">
        <v>3</v>
      </c>
      <c r="B55" s="36" t="s">
        <v>1037</v>
      </c>
      <c r="C55" s="36">
        <v>20</v>
      </c>
      <c r="D55" s="34" t="s">
        <v>1158</v>
      </c>
      <c r="E55" s="36" t="s">
        <v>1031</v>
      </c>
      <c r="F55" s="36">
        <v>3</v>
      </c>
      <c r="G55" s="36" t="s">
        <v>805</v>
      </c>
      <c r="H55" s="36" t="s">
        <v>816</v>
      </c>
      <c r="I55" s="36" t="s">
        <v>826</v>
      </c>
      <c r="J55" s="17">
        <v>0</v>
      </c>
      <c r="K55" s="17">
        <v>0</v>
      </c>
      <c r="L55" s="17">
        <v>0</v>
      </c>
      <c r="M55" s="35">
        <f>(IF(G55="",挂机玩法规划!$L$2,VLOOKUP(G55,物品id!A:D,4,FALSE)*IF(J55=0,1,4))*IF(J55=0,1,J55)+IF(H55="",挂机玩法规划!$L$2,VLOOKUP(H55,物品id!A:D,4,FALSE)*IF(K55=0,1,4))*IF(K55=0,1,K55)+IF(I55="",挂机玩法规划!$L$2,VLOOKUP(I55,物品id!A:D,4,FALSE)*IF(L55=0,1,4))*IF(L55=0,1,L55))/O55</f>
        <v>0.25</v>
      </c>
      <c r="N55" s="44">
        <f>IF(G55="",挂机玩法规划!$L$2,VLOOKUP(G55,物品id!A:D,4,FALSE)*4)+IF(H55="",挂机玩法规划!$L$2,VLOOKUP(H55,物品id!A:D,4,FALSE)*4)+IF(I55="",挂机玩法规划!$L$2,VLOOKUP(I55,物品id!A:D,4,FALSE)*4)</f>
        <v>240</v>
      </c>
      <c r="O55" s="45">
        <v>240</v>
      </c>
      <c r="P55" s="36">
        <v>2</v>
      </c>
      <c r="Q55" s="36">
        <v>2</v>
      </c>
      <c r="R55" s="36">
        <v>2</v>
      </c>
      <c r="S55" s="36">
        <v>720</v>
      </c>
      <c r="T55" s="36" t="s">
        <v>835</v>
      </c>
      <c r="U55" s="36">
        <v>720</v>
      </c>
      <c r="V55" s="36" t="s">
        <v>838</v>
      </c>
      <c r="W55" s="36" t="s">
        <v>200</v>
      </c>
      <c r="X55" s="36">
        <v>8</v>
      </c>
      <c r="Y55" s="36">
        <f>U55*挂机玩法规划!$O$4*VLOOKUP(E55,挂机玩法规划!$G$2:$I$17,3,FALSE)</f>
        <v>4320</v>
      </c>
      <c r="Z55" s="17">
        <f t="shared" si="6"/>
        <v>2</v>
      </c>
      <c r="AA55" s="17">
        <f t="shared" si="7"/>
        <v>1080</v>
      </c>
      <c r="AB55" s="17">
        <f>(VLOOKUP(V55,物品id!A:E,5,FALSE)*挂机玩法填表!Z55+VLOOKUP(挂机玩法填表!W55,物品id!A:E,5,FALSE)*挂机玩法填表!AA55)/(U55/60)</f>
        <v>9.4799999999999986</v>
      </c>
      <c r="AD55" s="17" t="str">
        <f>IF(G55="","",VLOOKUP(G55,物品id!$A:$B,2,FALSE)&amp;",")</f>
        <v>1221,</v>
      </c>
      <c r="AE55" s="17" t="str">
        <f>IF(H55="","",VLOOKUP(H55,物品id!$A:$B,2,FALSE)&amp;",")</f>
        <v>2221,</v>
      </c>
      <c r="AF55" s="17" t="str">
        <f>IF(I55="","",VLOOKUP(I55,物品id!$A:$B,2,FALSE)&amp;",")</f>
        <v>3221,</v>
      </c>
      <c r="AG55" s="36" t="str">
        <f t="shared" si="42"/>
        <v>1221,2221,3221,</v>
      </c>
      <c r="AH55" s="36" t="str">
        <f t="shared" si="43"/>
        <v>[1221,2221,3221]</v>
      </c>
      <c r="AI55" s="17" t="str">
        <f t="shared" si="100"/>
        <v>2,</v>
      </c>
      <c r="AJ55" s="17" t="str">
        <f t="shared" si="101"/>
        <v>2,</v>
      </c>
      <c r="AK55" s="17" t="str">
        <f t="shared" si="102"/>
        <v>2,</v>
      </c>
      <c r="AL55" s="36" t="str">
        <f t="shared" si="44"/>
        <v>2,2,2,</v>
      </c>
      <c r="AM55" s="36" t="str">
        <f t="shared" si="45"/>
        <v>[2,2,2]</v>
      </c>
      <c r="AN55" s="36" t="str">
        <f>VLOOKUP(T55,物品id!$A:$B,2,FALSE)&amp;","</f>
        <v>102,</v>
      </c>
      <c r="AO55" s="17" t="str">
        <f t="shared" si="8"/>
        <v>[102]</v>
      </c>
      <c r="AP55" s="36" t="str">
        <f t="shared" si="3"/>
        <v>720,</v>
      </c>
      <c r="AQ55" s="17" t="str">
        <f t="shared" si="9"/>
        <v>[720]</v>
      </c>
      <c r="AR55" s="36" t="str">
        <f>IF(V55="","",VLOOKUP(V55,物品id!$A:$B,2,FALSE)&amp;",")</f>
        <v>20034,</v>
      </c>
      <c r="AS55" s="36" t="str">
        <f>IF(W55="","",VLOOKUP(W55,物品id!$A:$B,2,FALSE)&amp;",")</f>
        <v>102,</v>
      </c>
      <c r="AT55" s="36" t="str">
        <f t="shared" si="46"/>
        <v>20034,102,</v>
      </c>
      <c r="AU55" s="36" t="str">
        <f t="shared" si="47"/>
        <v>[20034,102]</v>
      </c>
      <c r="AV55" s="36" t="str">
        <f t="shared" si="4"/>
        <v>8,</v>
      </c>
      <c r="AW55" s="36" t="str">
        <f t="shared" si="5"/>
        <v>4320,</v>
      </c>
      <c r="AX55" s="36" t="str">
        <f t="shared" si="48"/>
        <v>8,4320,</v>
      </c>
      <c r="AY55" s="36" t="str">
        <f t="shared" si="49"/>
        <v>[8,4320]</v>
      </c>
    </row>
    <row r="56" spans="1:51" s="37" customFormat="1" x14ac:dyDescent="0.2">
      <c r="A56" s="37">
        <v>1</v>
      </c>
      <c r="B56" s="37" t="s">
        <v>1036</v>
      </c>
      <c r="C56" s="37">
        <v>21</v>
      </c>
      <c r="D56" s="34" t="s">
        <v>1159</v>
      </c>
      <c r="E56" s="37" t="s">
        <v>1030</v>
      </c>
      <c r="F56" s="37">
        <v>3</v>
      </c>
      <c r="G56" s="37" t="s">
        <v>805</v>
      </c>
      <c r="H56" s="37" t="s">
        <v>816</v>
      </c>
      <c r="J56" s="17">
        <v>0</v>
      </c>
      <c r="K56" s="17">
        <v>0</v>
      </c>
      <c r="L56" s="17">
        <v>0</v>
      </c>
      <c r="M56" s="35">
        <f>(IF(G56="",挂机玩法规划!$L$2,VLOOKUP(G56,物品id!A:D,4,FALSE)*IF(J56=0,1,4))*IF(J56=0,1,J56)+IF(H56="",挂机玩法规划!$L$2,VLOOKUP(H56,物品id!A:D,4,FALSE)*IF(K56=0,1,4))*IF(K56=0,1,K56)+IF(I56="",挂机玩法规划!$L$2,VLOOKUP(I56,物品id!A:D,4,FALSE)*IF(L56=0,1,4))*IF(L56=0,1,L56))/O56</f>
        <v>0.29411764705882354</v>
      </c>
      <c r="N56" s="44">
        <f>IF(G56="",挂机玩法规划!$L$2,VLOOKUP(G56,物品id!A:D,4,FALSE)*4)+IF(H56="",挂机玩法规划!$L$2,VLOOKUP(H56,物品id!A:D,4,FALSE)*4)+IF(I56="",挂机玩法规划!$L$2,VLOOKUP(I56,物品id!A:D,4,FALSE)*4)</f>
        <v>170</v>
      </c>
      <c r="O56" s="46">
        <v>170</v>
      </c>
      <c r="P56" s="37">
        <v>3</v>
      </c>
      <c r="Q56" s="37">
        <v>3</v>
      </c>
      <c r="R56" s="37" t="s">
        <v>1131</v>
      </c>
      <c r="S56" s="37">
        <v>120</v>
      </c>
      <c r="T56" s="37" t="s">
        <v>835</v>
      </c>
      <c r="U56" s="37">
        <v>120</v>
      </c>
      <c r="V56" s="37" t="s">
        <v>842</v>
      </c>
      <c r="W56" s="37" t="s">
        <v>200</v>
      </c>
      <c r="X56" s="37">
        <v>2</v>
      </c>
      <c r="Y56" s="37">
        <f>U56*挂机玩法规划!$O$4*VLOOKUP(E56,挂机玩法规划!$G$2:$I$17,3,FALSE)</f>
        <v>480</v>
      </c>
      <c r="Z56" s="17">
        <f t="shared" si="6"/>
        <v>0.58823529411764708</v>
      </c>
      <c r="AA56" s="17">
        <f t="shared" si="7"/>
        <v>141.1764705882353</v>
      </c>
      <c r="AB56" s="17">
        <f>(VLOOKUP(V56,物品id!A:E,5,FALSE)*挂机玩法填表!Z56+VLOOKUP(挂机玩法填表!W56,物品id!A:E,5,FALSE)*挂机玩法填表!AA56)/(U56/60)</f>
        <v>16.258823529411767</v>
      </c>
      <c r="AD56" s="17" t="str">
        <f>IF(G56="","",VLOOKUP(G56,物品id!$A:$B,2,FALSE)&amp;",")</f>
        <v>1221,</v>
      </c>
      <c r="AE56" s="17" t="str">
        <f>IF(H56="","",VLOOKUP(H56,物品id!$A:$B,2,FALSE)&amp;",")</f>
        <v>2221,</v>
      </c>
      <c r="AF56" s="17" t="str">
        <f>IF(I56="","",VLOOKUP(I56,物品id!$A:$B,2,FALSE)&amp;",")</f>
        <v/>
      </c>
      <c r="AG56" s="37" t="str">
        <f t="shared" si="42"/>
        <v>1221,2221,</v>
      </c>
      <c r="AH56" s="37" t="str">
        <f t="shared" si="43"/>
        <v>[1221,2221]</v>
      </c>
      <c r="AI56" s="17" t="str">
        <f t="shared" si="100"/>
        <v>3,</v>
      </c>
      <c r="AJ56" s="17" t="str">
        <f t="shared" si="101"/>
        <v>3,</v>
      </c>
      <c r="AK56" s="17" t="str">
        <f t="shared" si="102"/>
        <v/>
      </c>
      <c r="AL56" s="37" t="str">
        <f t="shared" si="44"/>
        <v>3,3,</v>
      </c>
      <c r="AM56" s="37" t="str">
        <f t="shared" si="45"/>
        <v>[3,3]</v>
      </c>
      <c r="AN56" s="37" t="str">
        <f>VLOOKUP(T56,物品id!$A:$B,2,FALSE)&amp;","</f>
        <v>102,</v>
      </c>
      <c r="AO56" s="17" t="str">
        <f t="shared" si="8"/>
        <v>[102]</v>
      </c>
      <c r="AP56" s="37" t="str">
        <f t="shared" si="3"/>
        <v>120,</v>
      </c>
      <c r="AQ56" s="17" t="str">
        <f t="shared" si="9"/>
        <v>[120]</v>
      </c>
      <c r="AR56" s="37" t="str">
        <f>IF(V56="","",VLOOKUP(V56,物品id!$A:$B,2,FALSE)&amp;",")</f>
        <v>20038,</v>
      </c>
      <c r="AS56" s="37" t="str">
        <f>IF(W56="","",VLOOKUP(W56,物品id!$A:$B,2,FALSE)&amp;",")</f>
        <v>102,</v>
      </c>
      <c r="AT56" s="37" t="str">
        <f t="shared" si="46"/>
        <v>20038,102,</v>
      </c>
      <c r="AU56" s="37" t="str">
        <f t="shared" si="47"/>
        <v>[20038,102]</v>
      </c>
      <c r="AV56" s="37" t="str">
        <f t="shared" si="4"/>
        <v>2,</v>
      </c>
      <c r="AW56" s="37" t="str">
        <f t="shared" si="5"/>
        <v>480,</v>
      </c>
      <c r="AX56" s="37" t="str">
        <f t="shared" si="48"/>
        <v>2,480,</v>
      </c>
      <c r="AY56" s="37" t="str">
        <f t="shared" si="49"/>
        <v>[2,480]</v>
      </c>
    </row>
    <row r="57" spans="1:51" s="37" customFormat="1" x14ac:dyDescent="0.2">
      <c r="A57" s="37">
        <v>1</v>
      </c>
      <c r="B57" s="37" t="s">
        <v>1036</v>
      </c>
      <c r="C57" s="37">
        <v>21</v>
      </c>
      <c r="D57" s="34" t="s">
        <v>1159</v>
      </c>
      <c r="E57" s="37" t="s">
        <v>1016</v>
      </c>
      <c r="F57" s="37">
        <v>3</v>
      </c>
      <c r="G57" s="37" t="s">
        <v>805</v>
      </c>
      <c r="H57" s="37" t="s">
        <v>1118</v>
      </c>
      <c r="J57" s="17">
        <v>0</v>
      </c>
      <c r="K57" s="17">
        <v>0</v>
      </c>
      <c r="L57" s="17">
        <v>0</v>
      </c>
      <c r="M57" s="35">
        <f>(IF(G57="",挂机玩法规划!$L$2,VLOOKUP(G57,物品id!A:D,4,FALSE)*IF(J57=0,1,4))*IF(J57=0,1,J57)+IF(H57="",挂机玩法规划!$L$2,VLOOKUP(H57,物品id!A:D,4,FALSE)*IF(K57=0,1,4))*IF(K57=0,1,K57)+IF(I57="",挂机玩法规划!$L$2,VLOOKUP(I57,物品id!A:D,4,FALSE)*IF(L57=0,1,4))*IF(L57=0,1,L57))/O57</f>
        <v>0.29411764705882354</v>
      </c>
      <c r="N57" s="44">
        <f>IF(G57="",挂机玩法规划!$L$2,VLOOKUP(G57,物品id!A:D,4,FALSE)*4)+IF(H57="",挂机玩法规划!$L$2,VLOOKUP(H57,物品id!A:D,4,FALSE)*4)+IF(I57="",挂机玩法规划!$L$2,VLOOKUP(I57,物品id!A:D,4,FALSE)*4)</f>
        <v>170</v>
      </c>
      <c r="O57" s="46">
        <v>170</v>
      </c>
      <c r="P57" s="37">
        <v>3</v>
      </c>
      <c r="Q57" s="37">
        <v>3</v>
      </c>
      <c r="R57" s="37" t="s">
        <v>1131</v>
      </c>
      <c r="S57" s="37">
        <v>120</v>
      </c>
      <c r="T57" s="37" t="s">
        <v>835</v>
      </c>
      <c r="U57" s="37">
        <v>120</v>
      </c>
      <c r="V57" s="37" t="s">
        <v>842</v>
      </c>
      <c r="W57" s="37" t="s">
        <v>200</v>
      </c>
      <c r="X57" s="37">
        <v>2</v>
      </c>
      <c r="Y57" s="37">
        <f>U57*挂机玩法规划!$O$4*VLOOKUP(E57,挂机玩法规划!$G$2:$I$17,3,FALSE)</f>
        <v>480</v>
      </c>
      <c r="Z57" s="17">
        <f t="shared" si="6"/>
        <v>0.58823529411764708</v>
      </c>
      <c r="AA57" s="17">
        <f t="shared" si="7"/>
        <v>141.1764705882353</v>
      </c>
      <c r="AB57" s="17">
        <f>(VLOOKUP(V57,物品id!A:E,5,FALSE)*挂机玩法填表!Z57+VLOOKUP(挂机玩法填表!W57,物品id!A:E,5,FALSE)*挂机玩法填表!AA57)/(U57/60)</f>
        <v>16.258823529411767</v>
      </c>
      <c r="AD57" s="17" t="str">
        <f>IF(G57="","",VLOOKUP(G57,物品id!$A:$B,2,FALSE)&amp;",")</f>
        <v>1221,</v>
      </c>
      <c r="AE57" s="17" t="str">
        <f>IF(H57="","",VLOOKUP(H57,物品id!$A:$B,2,FALSE)&amp;",")</f>
        <v>3221,</v>
      </c>
      <c r="AF57" s="17" t="str">
        <f>IF(I57="","",VLOOKUP(I57,物品id!$A:$B,2,FALSE)&amp;",")</f>
        <v/>
      </c>
      <c r="AG57" s="37" t="str">
        <f t="shared" ref="AG57:AG58" si="157">AD57&amp;AE57&amp;AF57</f>
        <v>1221,3221,</v>
      </c>
      <c r="AH57" s="37" t="str">
        <f t="shared" ref="AH57:AH58" si="158">"["&amp;LEFT(AG57,LEN(AG57)-1)&amp;"]"</f>
        <v>[1221,3221]</v>
      </c>
      <c r="AI57" s="17" t="str">
        <f t="shared" si="100"/>
        <v>3,</v>
      </c>
      <c r="AJ57" s="17" t="str">
        <f t="shared" si="101"/>
        <v>3,</v>
      </c>
      <c r="AK57" s="17" t="str">
        <f t="shared" si="102"/>
        <v/>
      </c>
      <c r="AL57" s="37" t="str">
        <f t="shared" ref="AL57:AL58" si="159">AI57&amp;AJ57&amp;AK57</f>
        <v>3,3,</v>
      </c>
      <c r="AM57" s="37" t="str">
        <f t="shared" ref="AM57:AM58" si="160">"["&amp;LEFT(AL57,LEN(AL57)-1)&amp;"]"</f>
        <v>[3,3]</v>
      </c>
      <c r="AN57" s="37" t="str">
        <f>VLOOKUP(T57,物品id!$A:$B,2,FALSE)&amp;","</f>
        <v>102,</v>
      </c>
      <c r="AO57" s="17" t="str">
        <f t="shared" si="8"/>
        <v>[102]</v>
      </c>
      <c r="AP57" s="37" t="str">
        <f t="shared" si="3"/>
        <v>120,</v>
      </c>
      <c r="AQ57" s="17" t="str">
        <f t="shared" si="9"/>
        <v>[120]</v>
      </c>
      <c r="AR57" s="37" t="str">
        <f>IF(V57="","",VLOOKUP(V57,物品id!$A:$B,2,FALSE)&amp;",")</f>
        <v>20038,</v>
      </c>
      <c r="AS57" s="37" t="str">
        <f>IF(W57="","",VLOOKUP(W57,物品id!$A:$B,2,FALSE)&amp;",")</f>
        <v>102,</v>
      </c>
      <c r="AT57" s="37" t="str">
        <f t="shared" ref="AT57:AT58" si="161">AR57&amp;AS57</f>
        <v>20038,102,</v>
      </c>
      <c r="AU57" s="37" t="str">
        <f t="shared" ref="AU57:AU58" si="162">"["&amp;LEFT(AT57,LEN(AT57)-1)&amp;"]"</f>
        <v>[20038,102]</v>
      </c>
      <c r="AV57" s="37" t="str">
        <f t="shared" si="4"/>
        <v>2,</v>
      </c>
      <c r="AW57" s="37" t="str">
        <f t="shared" si="5"/>
        <v>480,</v>
      </c>
      <c r="AX57" s="37" t="str">
        <f t="shared" ref="AX57:AX58" si="163">AV57&amp;AW57</f>
        <v>2,480,</v>
      </c>
      <c r="AY57" s="37" t="str">
        <f t="shared" ref="AY57:AY58" si="164">"["&amp;LEFT(AX57,LEN(AX57)-1)&amp;"]"</f>
        <v>[2,480]</v>
      </c>
    </row>
    <row r="58" spans="1:51" s="37" customFormat="1" x14ac:dyDescent="0.2">
      <c r="A58" s="37">
        <v>1</v>
      </c>
      <c r="B58" s="37" t="s">
        <v>1036</v>
      </c>
      <c r="C58" s="37">
        <v>21</v>
      </c>
      <c r="D58" s="34" t="s">
        <v>1159</v>
      </c>
      <c r="E58" s="37" t="s">
        <v>1016</v>
      </c>
      <c r="F58" s="37">
        <v>3</v>
      </c>
      <c r="G58" s="37" t="s">
        <v>1117</v>
      </c>
      <c r="H58" s="37" t="s">
        <v>1118</v>
      </c>
      <c r="J58" s="17">
        <v>0</v>
      </c>
      <c r="K58" s="17">
        <v>0</v>
      </c>
      <c r="L58" s="17">
        <v>0</v>
      </c>
      <c r="M58" s="35">
        <f>(IF(G58="",挂机玩法规划!$L$2,VLOOKUP(G58,物品id!A:D,4,FALSE)*IF(J58=0,1,4))*IF(J58=0,1,J58)+IF(H58="",挂机玩法规划!$L$2,VLOOKUP(H58,物品id!A:D,4,FALSE)*IF(K58=0,1,4))*IF(K58=0,1,K58)+IF(I58="",挂机玩法规划!$L$2,VLOOKUP(I58,物品id!A:D,4,FALSE)*IF(L58=0,1,4))*IF(L58=0,1,L58))/O58</f>
        <v>0.29411764705882354</v>
      </c>
      <c r="N58" s="44">
        <f>IF(G58="",挂机玩法规划!$L$2,VLOOKUP(G58,物品id!A:D,4,FALSE)*4)+IF(H58="",挂机玩法规划!$L$2,VLOOKUP(H58,物品id!A:D,4,FALSE)*4)+IF(I58="",挂机玩法规划!$L$2,VLOOKUP(I58,物品id!A:D,4,FALSE)*4)</f>
        <v>170</v>
      </c>
      <c r="O58" s="46">
        <v>170</v>
      </c>
      <c r="P58" s="37">
        <v>3</v>
      </c>
      <c r="Q58" s="37">
        <v>3</v>
      </c>
      <c r="R58" s="37" t="s">
        <v>1131</v>
      </c>
      <c r="S58" s="37">
        <v>120</v>
      </c>
      <c r="T58" s="37" t="s">
        <v>835</v>
      </c>
      <c r="U58" s="37">
        <v>120</v>
      </c>
      <c r="V58" s="37" t="s">
        <v>842</v>
      </c>
      <c r="W58" s="37" t="s">
        <v>200</v>
      </c>
      <c r="X58" s="37">
        <v>2</v>
      </c>
      <c r="Y58" s="37">
        <f>U58*挂机玩法规划!$O$4*VLOOKUP(E58,挂机玩法规划!$G$2:$I$17,3,FALSE)</f>
        <v>480</v>
      </c>
      <c r="Z58" s="17">
        <f t="shared" si="6"/>
        <v>0.58823529411764708</v>
      </c>
      <c r="AA58" s="17">
        <f t="shared" si="7"/>
        <v>141.1764705882353</v>
      </c>
      <c r="AB58" s="17">
        <f>(VLOOKUP(V58,物品id!A:E,5,FALSE)*挂机玩法填表!Z58+VLOOKUP(挂机玩法填表!W58,物品id!A:E,5,FALSE)*挂机玩法填表!AA58)/(U58/60)</f>
        <v>16.258823529411767</v>
      </c>
      <c r="AD58" s="17" t="str">
        <f>IF(G58="","",VLOOKUP(G58,物品id!$A:$B,2,FALSE)&amp;",")</f>
        <v>2221,</v>
      </c>
      <c r="AE58" s="17" t="str">
        <f>IF(H58="","",VLOOKUP(H58,物品id!$A:$B,2,FALSE)&amp;",")</f>
        <v>3221,</v>
      </c>
      <c r="AF58" s="17" t="str">
        <f>IF(I58="","",VLOOKUP(I58,物品id!$A:$B,2,FALSE)&amp;",")</f>
        <v/>
      </c>
      <c r="AG58" s="37" t="str">
        <f t="shared" si="157"/>
        <v>2221,3221,</v>
      </c>
      <c r="AH58" s="37" t="str">
        <f t="shared" si="158"/>
        <v>[2221,3221]</v>
      </c>
      <c r="AI58" s="17" t="str">
        <f t="shared" si="100"/>
        <v>3,</v>
      </c>
      <c r="AJ58" s="17" t="str">
        <f t="shared" si="101"/>
        <v>3,</v>
      </c>
      <c r="AK58" s="17" t="str">
        <f t="shared" si="102"/>
        <v/>
      </c>
      <c r="AL58" s="37" t="str">
        <f t="shared" si="159"/>
        <v>3,3,</v>
      </c>
      <c r="AM58" s="37" t="str">
        <f t="shared" si="160"/>
        <v>[3,3]</v>
      </c>
      <c r="AN58" s="37" t="str">
        <f>VLOOKUP(T58,物品id!$A:$B,2,FALSE)&amp;","</f>
        <v>102,</v>
      </c>
      <c r="AO58" s="17" t="str">
        <f t="shared" si="8"/>
        <v>[102]</v>
      </c>
      <c r="AP58" s="37" t="str">
        <f t="shared" si="3"/>
        <v>120,</v>
      </c>
      <c r="AQ58" s="17" t="str">
        <f t="shared" si="9"/>
        <v>[120]</v>
      </c>
      <c r="AR58" s="37" t="str">
        <f>IF(V58="","",VLOOKUP(V58,物品id!$A:$B,2,FALSE)&amp;",")</f>
        <v>20038,</v>
      </c>
      <c r="AS58" s="37" t="str">
        <f>IF(W58="","",VLOOKUP(W58,物品id!$A:$B,2,FALSE)&amp;",")</f>
        <v>102,</v>
      </c>
      <c r="AT58" s="37" t="str">
        <f t="shared" si="161"/>
        <v>20038,102,</v>
      </c>
      <c r="AU58" s="37" t="str">
        <f t="shared" si="162"/>
        <v>[20038,102]</v>
      </c>
      <c r="AV58" s="37" t="str">
        <f t="shared" si="4"/>
        <v>2,</v>
      </c>
      <c r="AW58" s="37" t="str">
        <f t="shared" si="5"/>
        <v>480,</v>
      </c>
      <c r="AX58" s="37" t="str">
        <f t="shared" si="163"/>
        <v>2,480,</v>
      </c>
      <c r="AY58" s="37" t="str">
        <f t="shared" si="164"/>
        <v>[2,480]</v>
      </c>
    </row>
    <row r="59" spans="1:51" s="37" customFormat="1" x14ac:dyDescent="0.2">
      <c r="A59" s="37">
        <v>2</v>
      </c>
      <c r="B59" s="37" t="s">
        <v>1036</v>
      </c>
      <c r="C59" s="37">
        <v>22</v>
      </c>
      <c r="D59" s="34" t="s">
        <v>1160</v>
      </c>
      <c r="E59" s="37" t="s">
        <v>1030</v>
      </c>
      <c r="F59" s="37">
        <v>3</v>
      </c>
      <c r="G59" s="37" t="s">
        <v>1112</v>
      </c>
      <c r="H59" s="37" t="s">
        <v>1116</v>
      </c>
      <c r="J59" s="17">
        <v>0.8</v>
      </c>
      <c r="K59" s="17">
        <v>0</v>
      </c>
      <c r="L59" s="17">
        <v>0</v>
      </c>
      <c r="M59" s="35">
        <f>(IF(G59="",挂机玩法规划!$L$2,VLOOKUP(G59,物品id!A:D,4,FALSE)*IF(J59=0,1,4))*IF(J59=0,1,J59)+IF(H59="",挂机玩法规划!$L$2,VLOOKUP(H59,物品id!A:D,4,FALSE)*IF(K59=0,1,4))*IF(K59=0,1,K59)+IF(I59="",挂机玩法规划!$L$2,VLOOKUP(I59,物品id!A:D,4,FALSE)*IF(L59=0,1,4))*IF(L59=0,1,L59))/O59</f>
        <v>0.55294117647058827</v>
      </c>
      <c r="N59" s="44">
        <f>IF(G59="",挂机玩法规划!$L$2,VLOOKUP(G59,物品id!A:D,4,FALSE)*4)+IF(H59="",挂机玩法规划!$L$2,VLOOKUP(H59,物品id!A:D,4,FALSE)*4)+IF(I59="",挂机玩法规划!$L$2,VLOOKUP(I59,物品id!A:D,4,FALSE)*4)</f>
        <v>170</v>
      </c>
      <c r="O59" s="46">
        <v>170</v>
      </c>
      <c r="P59" s="37">
        <v>3</v>
      </c>
      <c r="Q59" s="37">
        <v>3</v>
      </c>
      <c r="R59" s="37" t="s">
        <v>1131</v>
      </c>
      <c r="S59" s="37">
        <v>240</v>
      </c>
      <c r="T59" s="37" t="s">
        <v>835</v>
      </c>
      <c r="U59" s="37">
        <v>240</v>
      </c>
      <c r="V59" s="37" t="s">
        <v>841</v>
      </c>
      <c r="W59" s="37" t="s">
        <v>200</v>
      </c>
      <c r="X59" s="37">
        <v>1</v>
      </c>
      <c r="Y59" s="37">
        <f>U59*挂机玩法规划!$O$4*VLOOKUP(E59,挂机玩法规划!$G$2:$I$17,3,FALSE)</f>
        <v>960</v>
      </c>
      <c r="Z59" s="17">
        <f t="shared" si="6"/>
        <v>0.55294117647058827</v>
      </c>
      <c r="AA59" s="17">
        <f t="shared" si="7"/>
        <v>530.82352941176475</v>
      </c>
      <c r="AB59" s="17">
        <f>(VLOOKUP(V59,物品id!A:E,5,FALSE)*挂机玩法填表!Z59+VLOOKUP(挂机玩法填表!W59,物品id!A:E,5,FALSE)*挂机玩法填表!AA59)/(U59/60)</f>
        <v>16.743058823529413</v>
      </c>
      <c r="AD59" s="17" t="str">
        <f>IF(G59="","",VLOOKUP(G59,物品id!$A:$B,2,FALSE)&amp;",")</f>
        <v>1211,</v>
      </c>
      <c r="AE59" s="17" t="str">
        <f>IF(H59="","",VLOOKUP(H59,物品id!$A:$B,2,FALSE)&amp;",")</f>
        <v>1221,</v>
      </c>
      <c r="AF59" s="17" t="str">
        <f>IF(I59="","",VLOOKUP(I59,物品id!$A:$B,2,FALSE)&amp;",")</f>
        <v/>
      </c>
      <c r="AG59" s="37" t="str">
        <f t="shared" si="42"/>
        <v>1211,1221,</v>
      </c>
      <c r="AH59" s="37" t="str">
        <f t="shared" si="43"/>
        <v>[1211,1221]</v>
      </c>
      <c r="AI59" s="17" t="str">
        <f t="shared" si="100"/>
        <v>3,</v>
      </c>
      <c r="AJ59" s="17" t="str">
        <f t="shared" si="101"/>
        <v>3,</v>
      </c>
      <c r="AK59" s="17" t="str">
        <f t="shared" si="102"/>
        <v/>
      </c>
      <c r="AL59" s="37" t="str">
        <f t="shared" si="44"/>
        <v>3,3,</v>
      </c>
      <c r="AM59" s="37" t="str">
        <f t="shared" si="45"/>
        <v>[3,3]</v>
      </c>
      <c r="AN59" s="37" t="str">
        <f>VLOOKUP(T59,物品id!$A:$B,2,FALSE)&amp;","</f>
        <v>102,</v>
      </c>
      <c r="AO59" s="17" t="str">
        <f t="shared" si="8"/>
        <v>[102]</v>
      </c>
      <c r="AP59" s="37" t="str">
        <f t="shared" si="3"/>
        <v>240,</v>
      </c>
      <c r="AQ59" s="17" t="str">
        <f t="shared" si="9"/>
        <v>[240]</v>
      </c>
      <c r="AR59" s="37" t="str">
        <f>IF(V59="","",VLOOKUP(V59,物品id!$A:$B,2,FALSE)&amp;",")</f>
        <v>20037,</v>
      </c>
      <c r="AS59" s="37" t="str">
        <f>IF(W59="","",VLOOKUP(W59,物品id!$A:$B,2,FALSE)&amp;",")</f>
        <v>102,</v>
      </c>
      <c r="AT59" s="37" t="str">
        <f t="shared" si="46"/>
        <v>20037,102,</v>
      </c>
      <c r="AU59" s="37" t="str">
        <f t="shared" si="47"/>
        <v>[20037,102]</v>
      </c>
      <c r="AV59" s="37" t="str">
        <f t="shared" si="4"/>
        <v>1,</v>
      </c>
      <c r="AW59" s="37" t="str">
        <f t="shared" si="5"/>
        <v>960,</v>
      </c>
      <c r="AX59" s="37" t="str">
        <f t="shared" si="48"/>
        <v>1,960,</v>
      </c>
      <c r="AY59" s="37" t="str">
        <f t="shared" si="49"/>
        <v>[1,960]</v>
      </c>
    </row>
    <row r="60" spans="1:51" s="37" customFormat="1" x14ac:dyDescent="0.2">
      <c r="A60" s="37">
        <v>2</v>
      </c>
      <c r="B60" s="37" t="s">
        <v>1036</v>
      </c>
      <c r="C60" s="37">
        <v>22</v>
      </c>
      <c r="D60" s="34" t="s">
        <v>1160</v>
      </c>
      <c r="E60" s="37" t="s">
        <v>1016</v>
      </c>
      <c r="F60" s="37">
        <v>3</v>
      </c>
      <c r="G60" s="37" t="s">
        <v>1110</v>
      </c>
      <c r="H60" s="37" t="s">
        <v>816</v>
      </c>
      <c r="J60" s="17">
        <v>0.8</v>
      </c>
      <c r="K60" s="17">
        <v>0</v>
      </c>
      <c r="L60" s="17">
        <v>0</v>
      </c>
      <c r="M60" s="35">
        <f>(IF(G60="",挂机玩法规划!$L$2,VLOOKUP(G60,物品id!A:D,4,FALSE)*IF(J60=0,1,4))*IF(J60=0,1,J60)+IF(H60="",挂机玩法规划!$L$2,VLOOKUP(H60,物品id!A:D,4,FALSE)*IF(K60=0,1,4))*IF(K60=0,1,K60)+IF(I60="",挂机玩法规划!$L$2,VLOOKUP(I60,物品id!A:D,4,FALSE)*IF(L60=0,1,4))*IF(L60=0,1,L60))/O60</f>
        <v>0.55294117647058827</v>
      </c>
      <c r="N60" s="44">
        <f>IF(G60="",挂机玩法规划!$L$2,VLOOKUP(G60,物品id!A:D,4,FALSE)*4)+IF(H60="",挂机玩法规划!$L$2,VLOOKUP(H60,物品id!A:D,4,FALSE)*4)+IF(I60="",挂机玩法规划!$L$2,VLOOKUP(I60,物品id!A:D,4,FALSE)*4)</f>
        <v>170</v>
      </c>
      <c r="O60" s="46">
        <v>170</v>
      </c>
      <c r="P60" s="37">
        <v>3</v>
      </c>
      <c r="Q60" s="37">
        <v>3</v>
      </c>
      <c r="R60" s="37" t="s">
        <v>1131</v>
      </c>
      <c r="S60" s="37">
        <v>240</v>
      </c>
      <c r="T60" s="37" t="s">
        <v>835</v>
      </c>
      <c r="U60" s="37">
        <v>240</v>
      </c>
      <c r="V60" s="37" t="s">
        <v>841</v>
      </c>
      <c r="W60" s="37" t="s">
        <v>200</v>
      </c>
      <c r="X60" s="37">
        <v>1</v>
      </c>
      <c r="Y60" s="37">
        <f>U60*挂机玩法规划!$O$4*VLOOKUP(E60,挂机玩法规划!$G$2:$I$17,3,FALSE)</f>
        <v>960</v>
      </c>
      <c r="Z60" s="17">
        <f t="shared" si="6"/>
        <v>0.55294117647058827</v>
      </c>
      <c r="AA60" s="17">
        <f t="shared" si="7"/>
        <v>530.82352941176475</v>
      </c>
      <c r="AB60" s="17">
        <f>(VLOOKUP(V60,物品id!A:E,5,FALSE)*挂机玩法填表!Z60+VLOOKUP(挂机玩法填表!W60,物品id!A:E,5,FALSE)*挂机玩法填表!AA60)/(U60/60)</f>
        <v>16.743058823529413</v>
      </c>
      <c r="AD60" s="17" t="str">
        <f>IF(G60="","",VLOOKUP(G60,物品id!$A:$B,2,FALSE)&amp;",")</f>
        <v>2211,</v>
      </c>
      <c r="AE60" s="17" t="str">
        <f>IF(H60="","",VLOOKUP(H60,物品id!$A:$B,2,FALSE)&amp;",")</f>
        <v>2221,</v>
      </c>
      <c r="AF60" s="17" t="str">
        <f>IF(I60="","",VLOOKUP(I60,物品id!$A:$B,2,FALSE)&amp;",")</f>
        <v/>
      </c>
      <c r="AG60" s="37" t="str">
        <f t="shared" ref="AG60:AG61" si="165">AD60&amp;AE60&amp;AF60</f>
        <v>2211,2221,</v>
      </c>
      <c r="AH60" s="37" t="str">
        <f t="shared" ref="AH60:AH61" si="166">"["&amp;LEFT(AG60,LEN(AG60)-1)&amp;"]"</f>
        <v>[2211,2221]</v>
      </c>
      <c r="AI60" s="17" t="str">
        <f t="shared" si="100"/>
        <v>3,</v>
      </c>
      <c r="AJ60" s="17" t="str">
        <f t="shared" si="101"/>
        <v>3,</v>
      </c>
      <c r="AK60" s="17" t="str">
        <f t="shared" si="102"/>
        <v/>
      </c>
      <c r="AL60" s="37" t="str">
        <f t="shared" ref="AL60:AL61" si="167">AI60&amp;AJ60&amp;AK60</f>
        <v>3,3,</v>
      </c>
      <c r="AM60" s="37" t="str">
        <f t="shared" ref="AM60:AM61" si="168">"["&amp;LEFT(AL60,LEN(AL60)-1)&amp;"]"</f>
        <v>[3,3]</v>
      </c>
      <c r="AN60" s="37" t="str">
        <f>VLOOKUP(T60,物品id!$A:$B,2,FALSE)&amp;","</f>
        <v>102,</v>
      </c>
      <c r="AO60" s="17" t="str">
        <f t="shared" si="8"/>
        <v>[102]</v>
      </c>
      <c r="AP60" s="37" t="str">
        <f t="shared" si="3"/>
        <v>240,</v>
      </c>
      <c r="AQ60" s="17" t="str">
        <f t="shared" si="9"/>
        <v>[240]</v>
      </c>
      <c r="AR60" s="37" t="str">
        <f>IF(V60="","",VLOOKUP(V60,物品id!$A:$B,2,FALSE)&amp;",")</f>
        <v>20037,</v>
      </c>
      <c r="AS60" s="37" t="str">
        <f>IF(W60="","",VLOOKUP(W60,物品id!$A:$B,2,FALSE)&amp;",")</f>
        <v>102,</v>
      </c>
      <c r="AT60" s="37" t="str">
        <f t="shared" ref="AT60:AT61" si="169">AR60&amp;AS60</f>
        <v>20037,102,</v>
      </c>
      <c r="AU60" s="37" t="str">
        <f t="shared" ref="AU60:AU61" si="170">"["&amp;LEFT(AT60,LEN(AT60)-1)&amp;"]"</f>
        <v>[20037,102]</v>
      </c>
      <c r="AV60" s="37" t="str">
        <f t="shared" si="4"/>
        <v>1,</v>
      </c>
      <c r="AW60" s="37" t="str">
        <f t="shared" si="5"/>
        <v>960,</v>
      </c>
      <c r="AX60" s="37" t="str">
        <f t="shared" ref="AX60:AX61" si="171">AV60&amp;AW60</f>
        <v>1,960,</v>
      </c>
      <c r="AY60" s="37" t="str">
        <f t="shared" ref="AY60:AY61" si="172">"["&amp;LEFT(AX60,LEN(AX60)-1)&amp;"]"</f>
        <v>[1,960]</v>
      </c>
    </row>
    <row r="61" spans="1:51" s="37" customFormat="1" x14ac:dyDescent="0.2">
      <c r="A61" s="37">
        <v>2</v>
      </c>
      <c r="B61" s="37" t="s">
        <v>1036</v>
      </c>
      <c r="C61" s="37">
        <v>22</v>
      </c>
      <c r="D61" s="34" t="s">
        <v>1160</v>
      </c>
      <c r="E61" s="37" t="s">
        <v>1016</v>
      </c>
      <c r="F61" s="37">
        <v>3</v>
      </c>
      <c r="G61" s="37" t="s">
        <v>1111</v>
      </c>
      <c r="H61" s="37" t="s">
        <v>1118</v>
      </c>
      <c r="J61" s="17">
        <v>0.8</v>
      </c>
      <c r="K61" s="17">
        <v>0</v>
      </c>
      <c r="L61" s="17">
        <v>0</v>
      </c>
      <c r="M61" s="35">
        <f>(IF(G61="",挂机玩法规划!$L$2,VLOOKUP(G61,物品id!A:D,4,FALSE)*IF(J61=0,1,4))*IF(J61=0,1,J61)+IF(H61="",挂机玩法规划!$L$2,VLOOKUP(H61,物品id!A:D,4,FALSE)*IF(K61=0,1,4))*IF(K61=0,1,K61)+IF(I61="",挂机玩法规划!$L$2,VLOOKUP(I61,物品id!A:D,4,FALSE)*IF(L61=0,1,4))*IF(L61=0,1,L61))/O61</f>
        <v>0.55294117647058827</v>
      </c>
      <c r="N61" s="44">
        <f>IF(G61="",挂机玩法规划!$L$2,VLOOKUP(G61,物品id!A:D,4,FALSE)*4)+IF(H61="",挂机玩法规划!$L$2,VLOOKUP(H61,物品id!A:D,4,FALSE)*4)+IF(I61="",挂机玩法规划!$L$2,VLOOKUP(I61,物品id!A:D,4,FALSE)*4)</f>
        <v>170</v>
      </c>
      <c r="O61" s="46">
        <v>170</v>
      </c>
      <c r="P61" s="37">
        <v>3</v>
      </c>
      <c r="Q61" s="37">
        <v>3</v>
      </c>
      <c r="R61" s="37" t="s">
        <v>1131</v>
      </c>
      <c r="S61" s="37">
        <v>240</v>
      </c>
      <c r="T61" s="37" t="s">
        <v>835</v>
      </c>
      <c r="U61" s="37">
        <v>240</v>
      </c>
      <c r="V61" s="37" t="s">
        <v>841</v>
      </c>
      <c r="W61" s="37" t="s">
        <v>200</v>
      </c>
      <c r="X61" s="37">
        <v>1</v>
      </c>
      <c r="Y61" s="37">
        <f>U61*挂机玩法规划!$O$4*VLOOKUP(E61,挂机玩法规划!$G$2:$I$17,3,FALSE)</f>
        <v>960</v>
      </c>
      <c r="Z61" s="17">
        <f t="shared" si="6"/>
        <v>0.55294117647058827</v>
      </c>
      <c r="AA61" s="17">
        <f t="shared" si="7"/>
        <v>530.82352941176475</v>
      </c>
      <c r="AB61" s="17">
        <f>(VLOOKUP(V61,物品id!A:E,5,FALSE)*挂机玩法填表!Z61+VLOOKUP(挂机玩法填表!W61,物品id!A:E,5,FALSE)*挂机玩法填表!AA61)/(U61/60)</f>
        <v>16.743058823529413</v>
      </c>
      <c r="AD61" s="17" t="str">
        <f>IF(G61="","",VLOOKUP(G61,物品id!$A:$B,2,FALSE)&amp;",")</f>
        <v>3211,</v>
      </c>
      <c r="AE61" s="17" t="str">
        <f>IF(H61="","",VLOOKUP(H61,物品id!$A:$B,2,FALSE)&amp;",")</f>
        <v>3221,</v>
      </c>
      <c r="AF61" s="17" t="str">
        <f>IF(I61="","",VLOOKUP(I61,物品id!$A:$B,2,FALSE)&amp;",")</f>
        <v/>
      </c>
      <c r="AG61" s="37" t="str">
        <f t="shared" si="165"/>
        <v>3211,3221,</v>
      </c>
      <c r="AH61" s="37" t="str">
        <f t="shared" si="166"/>
        <v>[3211,3221]</v>
      </c>
      <c r="AI61" s="17" t="str">
        <f t="shared" si="100"/>
        <v>3,</v>
      </c>
      <c r="AJ61" s="17" t="str">
        <f t="shared" si="101"/>
        <v>3,</v>
      </c>
      <c r="AK61" s="17" t="str">
        <f t="shared" si="102"/>
        <v/>
      </c>
      <c r="AL61" s="37" t="str">
        <f t="shared" si="167"/>
        <v>3,3,</v>
      </c>
      <c r="AM61" s="37" t="str">
        <f t="shared" si="168"/>
        <v>[3,3]</v>
      </c>
      <c r="AN61" s="37" t="str">
        <f>VLOOKUP(T61,物品id!$A:$B,2,FALSE)&amp;","</f>
        <v>102,</v>
      </c>
      <c r="AO61" s="17" t="str">
        <f t="shared" si="8"/>
        <v>[102]</v>
      </c>
      <c r="AP61" s="37" t="str">
        <f t="shared" si="3"/>
        <v>240,</v>
      </c>
      <c r="AQ61" s="17" t="str">
        <f t="shared" si="9"/>
        <v>[240]</v>
      </c>
      <c r="AR61" s="37" t="str">
        <f>IF(V61="","",VLOOKUP(V61,物品id!$A:$B,2,FALSE)&amp;",")</f>
        <v>20037,</v>
      </c>
      <c r="AS61" s="37" t="str">
        <f>IF(W61="","",VLOOKUP(W61,物品id!$A:$B,2,FALSE)&amp;",")</f>
        <v>102,</v>
      </c>
      <c r="AT61" s="37" t="str">
        <f t="shared" si="169"/>
        <v>20037,102,</v>
      </c>
      <c r="AU61" s="37" t="str">
        <f t="shared" si="170"/>
        <v>[20037,102]</v>
      </c>
      <c r="AV61" s="37" t="str">
        <f t="shared" si="4"/>
        <v>1,</v>
      </c>
      <c r="AW61" s="37" t="str">
        <f t="shared" si="5"/>
        <v>960,</v>
      </c>
      <c r="AX61" s="37" t="str">
        <f t="shared" si="171"/>
        <v>1,960,</v>
      </c>
      <c r="AY61" s="37" t="str">
        <f t="shared" si="172"/>
        <v>[1,960]</v>
      </c>
    </row>
    <row r="62" spans="1:51" s="37" customFormat="1" x14ac:dyDescent="0.2">
      <c r="A62" s="37">
        <v>3</v>
      </c>
      <c r="B62" s="37" t="s">
        <v>1035</v>
      </c>
      <c r="C62" s="37">
        <v>23</v>
      </c>
      <c r="D62" s="34" t="s">
        <v>1161</v>
      </c>
      <c r="E62" s="37" t="s">
        <v>1030</v>
      </c>
      <c r="F62" s="37">
        <v>3</v>
      </c>
      <c r="G62" s="37" t="s">
        <v>803</v>
      </c>
      <c r="H62" s="37" t="s">
        <v>804</v>
      </c>
      <c r="I62" s="37" t="s">
        <v>805</v>
      </c>
      <c r="J62" s="17">
        <v>1</v>
      </c>
      <c r="K62" s="17">
        <v>0.8</v>
      </c>
      <c r="L62" s="17">
        <v>0</v>
      </c>
      <c r="M62" s="35">
        <f>(IF(G62="",挂机玩法规划!$L$2,VLOOKUP(G62,物品id!A:D,4,FALSE)*IF(J62=0,1,4))*IF(J62=0,1,J62)+IF(H62="",挂机玩法规划!$L$2,VLOOKUP(H62,物品id!A:D,4,FALSE)*IF(K62=0,1,4))*IF(K62=0,1,K62)+IF(I62="",挂机玩法规划!$L$2,VLOOKUP(I62,物品id!A:D,4,FALSE)*IF(L62=0,1,4))*IF(L62=0,1,L62))/O62</f>
        <v>0.62</v>
      </c>
      <c r="N62" s="44">
        <f>IF(G62="",挂机玩法规划!$L$2,VLOOKUP(G62,物品id!A:D,4,FALSE)*4)+IF(H62="",挂机玩法规划!$L$2,VLOOKUP(H62,物品id!A:D,4,FALSE)*4)+IF(I62="",挂机玩法规划!$L$2,VLOOKUP(I62,物品id!A:D,4,FALSE)*4)</f>
        <v>200</v>
      </c>
      <c r="O62" s="46">
        <v>200</v>
      </c>
      <c r="P62" s="37">
        <v>3</v>
      </c>
      <c r="Q62" s="37">
        <v>3</v>
      </c>
      <c r="R62" s="37">
        <v>3</v>
      </c>
      <c r="S62" s="37">
        <v>480</v>
      </c>
      <c r="T62" s="37" t="s">
        <v>835</v>
      </c>
      <c r="U62" s="37">
        <v>480</v>
      </c>
      <c r="V62" s="37" t="s">
        <v>841</v>
      </c>
      <c r="W62" s="37" t="s">
        <v>200</v>
      </c>
      <c r="X62" s="37">
        <v>2</v>
      </c>
      <c r="Y62" s="37">
        <f>U62*挂机玩法规划!$O$4*VLOOKUP(E62,挂机玩法规划!$G$2:$I$17,3,FALSE)</f>
        <v>1920</v>
      </c>
      <c r="Z62" s="17">
        <f t="shared" si="6"/>
        <v>1.24</v>
      </c>
      <c r="AA62" s="17">
        <f t="shared" si="7"/>
        <v>1190.4000000000001</v>
      </c>
      <c r="AB62" s="17">
        <f>(VLOOKUP(V62,物品id!A:E,5,FALSE)*挂机玩法填表!Z62+VLOOKUP(挂机玩法填表!W62,物品id!A:E,5,FALSE)*挂机玩法填表!AA62)/(U62/60)</f>
        <v>18.773600000000002</v>
      </c>
      <c r="AD62" s="17" t="str">
        <f>IF(G62="","",VLOOKUP(G62,物品id!$A:$B,2,FALSE)&amp;",")</f>
        <v>1111,</v>
      </c>
      <c r="AE62" s="17" t="str">
        <f>IF(H62="","",VLOOKUP(H62,物品id!$A:$B,2,FALSE)&amp;",")</f>
        <v>1211,</v>
      </c>
      <c r="AF62" s="17" t="str">
        <f>IF(I62="","",VLOOKUP(I62,物品id!$A:$B,2,FALSE)&amp;",")</f>
        <v>1221,</v>
      </c>
      <c r="AG62" s="37" t="str">
        <f t="shared" si="42"/>
        <v>1111,1211,1221,</v>
      </c>
      <c r="AH62" s="37" t="str">
        <f t="shared" si="43"/>
        <v>[1111,1211,1221]</v>
      </c>
      <c r="AI62" s="17" t="str">
        <f t="shared" si="100"/>
        <v>3,</v>
      </c>
      <c r="AJ62" s="17" t="str">
        <f t="shared" si="101"/>
        <v>3,</v>
      </c>
      <c r="AK62" s="17" t="str">
        <f t="shared" si="102"/>
        <v>3,</v>
      </c>
      <c r="AL62" s="37" t="str">
        <f t="shared" si="44"/>
        <v>3,3,3,</v>
      </c>
      <c r="AM62" s="37" t="str">
        <f t="shared" si="45"/>
        <v>[3,3,3]</v>
      </c>
      <c r="AN62" s="37" t="str">
        <f>VLOOKUP(T62,物品id!$A:$B,2,FALSE)&amp;","</f>
        <v>102,</v>
      </c>
      <c r="AO62" s="17" t="str">
        <f t="shared" si="8"/>
        <v>[102]</v>
      </c>
      <c r="AP62" s="37" t="str">
        <f t="shared" si="3"/>
        <v>480,</v>
      </c>
      <c r="AQ62" s="17" t="str">
        <f t="shared" si="9"/>
        <v>[480]</v>
      </c>
      <c r="AR62" s="37" t="str">
        <f>IF(V62="","",VLOOKUP(V62,物品id!$A:$B,2,FALSE)&amp;",")</f>
        <v>20037,</v>
      </c>
      <c r="AS62" s="37" t="str">
        <f>IF(W62="","",VLOOKUP(W62,物品id!$A:$B,2,FALSE)&amp;",")</f>
        <v>102,</v>
      </c>
      <c r="AT62" s="37" t="str">
        <f t="shared" si="46"/>
        <v>20037,102,</v>
      </c>
      <c r="AU62" s="37" t="str">
        <f t="shared" si="47"/>
        <v>[20037,102]</v>
      </c>
      <c r="AV62" s="37" t="str">
        <f t="shared" si="4"/>
        <v>2,</v>
      </c>
      <c r="AW62" s="37" t="str">
        <f t="shared" si="5"/>
        <v>1920,</v>
      </c>
      <c r="AX62" s="37" t="str">
        <f t="shared" si="48"/>
        <v>2,1920,</v>
      </c>
      <c r="AY62" s="37" t="str">
        <f t="shared" si="49"/>
        <v>[2,1920]</v>
      </c>
    </row>
    <row r="63" spans="1:51" s="37" customFormat="1" x14ac:dyDescent="0.2">
      <c r="A63" s="37">
        <v>3</v>
      </c>
      <c r="B63" s="37" t="s">
        <v>1035</v>
      </c>
      <c r="C63" s="37">
        <v>23</v>
      </c>
      <c r="D63" s="34" t="s">
        <v>1161</v>
      </c>
      <c r="E63" s="37" t="s">
        <v>1016</v>
      </c>
      <c r="F63" s="37">
        <v>3</v>
      </c>
      <c r="G63" s="37" t="s">
        <v>814</v>
      </c>
      <c r="H63" s="37" t="s">
        <v>815</v>
      </c>
      <c r="I63" s="37" t="s">
        <v>816</v>
      </c>
      <c r="J63" s="17">
        <v>1</v>
      </c>
      <c r="K63" s="17">
        <v>0.8</v>
      </c>
      <c r="L63" s="17">
        <v>0</v>
      </c>
      <c r="M63" s="35">
        <f>(IF(G63="",挂机玩法规划!$L$2,VLOOKUP(G63,物品id!A:D,4,FALSE)*IF(J63=0,1,4))*IF(J63=0,1,J63)+IF(H63="",挂机玩法规划!$L$2,VLOOKUP(H63,物品id!A:D,4,FALSE)*IF(K63=0,1,4))*IF(K63=0,1,K63)+IF(I63="",挂机玩法规划!$L$2,VLOOKUP(I63,物品id!A:D,4,FALSE)*IF(L63=0,1,4))*IF(L63=0,1,L63))/O63</f>
        <v>0.62</v>
      </c>
      <c r="N63" s="44">
        <f>IF(G63="",挂机玩法规划!$L$2,VLOOKUP(G63,物品id!A:D,4,FALSE)*4)+IF(H63="",挂机玩法规划!$L$2,VLOOKUP(H63,物品id!A:D,4,FALSE)*4)+IF(I63="",挂机玩法规划!$L$2,VLOOKUP(I63,物品id!A:D,4,FALSE)*4)</f>
        <v>200</v>
      </c>
      <c r="O63" s="46">
        <v>200</v>
      </c>
      <c r="P63" s="37">
        <v>3</v>
      </c>
      <c r="Q63" s="37">
        <v>3</v>
      </c>
      <c r="R63" s="37">
        <v>3</v>
      </c>
      <c r="S63" s="37">
        <v>480</v>
      </c>
      <c r="T63" s="37" t="s">
        <v>835</v>
      </c>
      <c r="U63" s="37">
        <v>480</v>
      </c>
      <c r="V63" s="37" t="s">
        <v>841</v>
      </c>
      <c r="W63" s="37" t="s">
        <v>200</v>
      </c>
      <c r="X63" s="37">
        <v>2</v>
      </c>
      <c r="Y63" s="37">
        <f>U63*挂机玩法规划!$O$4*VLOOKUP(E63,挂机玩法规划!$G$2:$I$17,3,FALSE)</f>
        <v>1920</v>
      </c>
      <c r="Z63" s="17">
        <f t="shared" si="6"/>
        <v>1.24</v>
      </c>
      <c r="AA63" s="17">
        <f t="shared" si="7"/>
        <v>1190.4000000000001</v>
      </c>
      <c r="AB63" s="17">
        <f>(VLOOKUP(V63,物品id!A:E,5,FALSE)*挂机玩法填表!Z63+VLOOKUP(挂机玩法填表!W63,物品id!A:E,5,FALSE)*挂机玩法填表!AA63)/(U63/60)</f>
        <v>18.773600000000002</v>
      </c>
      <c r="AD63" s="17" t="str">
        <f>IF(G63="","",VLOOKUP(G63,物品id!$A:$B,2,FALSE)&amp;",")</f>
        <v>2111,</v>
      </c>
      <c r="AE63" s="17" t="str">
        <f>IF(H63="","",VLOOKUP(H63,物品id!$A:$B,2,FALSE)&amp;",")</f>
        <v>2211,</v>
      </c>
      <c r="AF63" s="17" t="str">
        <f>IF(I63="","",VLOOKUP(I63,物品id!$A:$B,2,FALSE)&amp;",")</f>
        <v>2221,</v>
      </c>
      <c r="AG63" s="37" t="str">
        <f t="shared" ref="AG63:AG64" si="173">AD63&amp;AE63&amp;AF63</f>
        <v>2111,2211,2221,</v>
      </c>
      <c r="AH63" s="37" t="str">
        <f t="shared" ref="AH63:AH64" si="174">"["&amp;LEFT(AG63,LEN(AG63)-1)&amp;"]"</f>
        <v>[2111,2211,2221]</v>
      </c>
      <c r="AI63" s="17" t="str">
        <f t="shared" si="100"/>
        <v>3,</v>
      </c>
      <c r="AJ63" s="17" t="str">
        <f t="shared" si="101"/>
        <v>3,</v>
      </c>
      <c r="AK63" s="17" t="str">
        <f t="shared" si="102"/>
        <v>3,</v>
      </c>
      <c r="AL63" s="37" t="str">
        <f t="shared" ref="AL63:AL64" si="175">AI63&amp;AJ63&amp;AK63</f>
        <v>3,3,3,</v>
      </c>
      <c r="AM63" s="37" t="str">
        <f t="shared" ref="AM63:AM64" si="176">"["&amp;LEFT(AL63,LEN(AL63)-1)&amp;"]"</f>
        <v>[3,3,3]</v>
      </c>
      <c r="AN63" s="37" t="str">
        <f>VLOOKUP(T63,物品id!$A:$B,2,FALSE)&amp;","</f>
        <v>102,</v>
      </c>
      <c r="AO63" s="17" t="str">
        <f t="shared" si="8"/>
        <v>[102]</v>
      </c>
      <c r="AP63" s="37" t="str">
        <f t="shared" si="3"/>
        <v>480,</v>
      </c>
      <c r="AQ63" s="17" t="str">
        <f t="shared" si="9"/>
        <v>[480]</v>
      </c>
      <c r="AR63" s="37" t="str">
        <f>IF(V63="","",VLOOKUP(V63,物品id!$A:$B,2,FALSE)&amp;",")</f>
        <v>20037,</v>
      </c>
      <c r="AS63" s="37" t="str">
        <f>IF(W63="","",VLOOKUP(W63,物品id!$A:$B,2,FALSE)&amp;",")</f>
        <v>102,</v>
      </c>
      <c r="AT63" s="37" t="str">
        <f t="shared" ref="AT63:AT64" si="177">AR63&amp;AS63</f>
        <v>20037,102,</v>
      </c>
      <c r="AU63" s="37" t="str">
        <f t="shared" ref="AU63:AU64" si="178">"["&amp;LEFT(AT63,LEN(AT63)-1)&amp;"]"</f>
        <v>[20037,102]</v>
      </c>
      <c r="AV63" s="37" t="str">
        <f t="shared" si="4"/>
        <v>2,</v>
      </c>
      <c r="AW63" s="37" t="str">
        <f t="shared" si="5"/>
        <v>1920,</v>
      </c>
      <c r="AX63" s="37" t="str">
        <f t="shared" ref="AX63:AX64" si="179">AV63&amp;AW63</f>
        <v>2,1920,</v>
      </c>
      <c r="AY63" s="37" t="str">
        <f t="shared" ref="AY63:AY64" si="180">"["&amp;LEFT(AX63,LEN(AX63)-1)&amp;"]"</f>
        <v>[2,1920]</v>
      </c>
    </row>
    <row r="64" spans="1:51" s="37" customFormat="1" x14ac:dyDescent="0.2">
      <c r="A64" s="37">
        <v>3</v>
      </c>
      <c r="B64" s="37" t="s">
        <v>1035</v>
      </c>
      <c r="C64" s="37">
        <v>23</v>
      </c>
      <c r="D64" s="34" t="s">
        <v>1161</v>
      </c>
      <c r="E64" s="37" t="s">
        <v>1016</v>
      </c>
      <c r="F64" s="37">
        <v>3</v>
      </c>
      <c r="G64" s="37" t="s">
        <v>824</v>
      </c>
      <c r="H64" s="37" t="s">
        <v>825</v>
      </c>
      <c r="I64" s="37" t="s">
        <v>826</v>
      </c>
      <c r="J64" s="17">
        <v>1</v>
      </c>
      <c r="K64" s="17">
        <v>0.8</v>
      </c>
      <c r="L64" s="17">
        <v>0</v>
      </c>
      <c r="M64" s="35">
        <f>(IF(G64="",挂机玩法规划!$L$2,VLOOKUP(G64,物品id!A:D,4,FALSE)*IF(J64=0,1,4))*IF(J64=0,1,J64)+IF(H64="",挂机玩法规划!$L$2,VLOOKUP(H64,物品id!A:D,4,FALSE)*IF(K64=0,1,4))*IF(K64=0,1,K64)+IF(I64="",挂机玩法规划!$L$2,VLOOKUP(I64,物品id!A:D,4,FALSE)*IF(L64=0,1,4))*IF(L64=0,1,L64))/O64</f>
        <v>0.62</v>
      </c>
      <c r="N64" s="44">
        <f>IF(G64="",挂机玩法规划!$L$2,VLOOKUP(G64,物品id!A:D,4,FALSE)*4)+IF(H64="",挂机玩法规划!$L$2,VLOOKUP(H64,物品id!A:D,4,FALSE)*4)+IF(I64="",挂机玩法规划!$L$2,VLOOKUP(I64,物品id!A:D,4,FALSE)*4)</f>
        <v>200</v>
      </c>
      <c r="O64" s="46">
        <v>200</v>
      </c>
      <c r="P64" s="37">
        <v>3</v>
      </c>
      <c r="Q64" s="37">
        <v>3</v>
      </c>
      <c r="R64" s="37">
        <v>3</v>
      </c>
      <c r="S64" s="37">
        <v>480</v>
      </c>
      <c r="T64" s="37" t="s">
        <v>835</v>
      </c>
      <c r="U64" s="37">
        <v>480</v>
      </c>
      <c r="V64" s="37" t="s">
        <v>841</v>
      </c>
      <c r="W64" s="37" t="s">
        <v>200</v>
      </c>
      <c r="X64" s="37">
        <v>2</v>
      </c>
      <c r="Y64" s="37">
        <f>U64*挂机玩法规划!$O$4*VLOOKUP(E64,挂机玩法规划!$G$2:$I$17,3,FALSE)</f>
        <v>1920</v>
      </c>
      <c r="Z64" s="17">
        <f t="shared" si="6"/>
        <v>1.24</v>
      </c>
      <c r="AA64" s="17">
        <f t="shared" si="7"/>
        <v>1190.4000000000001</v>
      </c>
      <c r="AB64" s="17">
        <f>(VLOOKUP(V64,物品id!A:E,5,FALSE)*挂机玩法填表!Z64+VLOOKUP(挂机玩法填表!W64,物品id!A:E,5,FALSE)*挂机玩法填表!AA64)/(U64/60)</f>
        <v>18.773600000000002</v>
      </c>
      <c r="AD64" s="17" t="str">
        <f>IF(G64="","",VLOOKUP(G64,物品id!$A:$B,2,FALSE)&amp;",")</f>
        <v>3111,</v>
      </c>
      <c r="AE64" s="17" t="str">
        <f>IF(H64="","",VLOOKUP(H64,物品id!$A:$B,2,FALSE)&amp;",")</f>
        <v>3211,</v>
      </c>
      <c r="AF64" s="17" t="str">
        <f>IF(I64="","",VLOOKUP(I64,物品id!$A:$B,2,FALSE)&amp;",")</f>
        <v>3221,</v>
      </c>
      <c r="AG64" s="37" t="str">
        <f t="shared" si="173"/>
        <v>3111,3211,3221,</v>
      </c>
      <c r="AH64" s="37" t="str">
        <f t="shared" si="174"/>
        <v>[3111,3211,3221]</v>
      </c>
      <c r="AI64" s="17" t="str">
        <f t="shared" si="100"/>
        <v>3,</v>
      </c>
      <c r="AJ64" s="17" t="str">
        <f t="shared" si="101"/>
        <v>3,</v>
      </c>
      <c r="AK64" s="17" t="str">
        <f t="shared" si="102"/>
        <v>3,</v>
      </c>
      <c r="AL64" s="37" t="str">
        <f t="shared" si="175"/>
        <v>3,3,3,</v>
      </c>
      <c r="AM64" s="37" t="str">
        <f t="shared" si="176"/>
        <v>[3,3,3]</v>
      </c>
      <c r="AN64" s="37" t="str">
        <f>VLOOKUP(T64,物品id!$A:$B,2,FALSE)&amp;","</f>
        <v>102,</v>
      </c>
      <c r="AO64" s="17" t="str">
        <f t="shared" si="8"/>
        <v>[102]</v>
      </c>
      <c r="AP64" s="37" t="str">
        <f t="shared" si="3"/>
        <v>480,</v>
      </c>
      <c r="AQ64" s="17" t="str">
        <f t="shared" si="9"/>
        <v>[480]</v>
      </c>
      <c r="AR64" s="37" t="str">
        <f>IF(V64="","",VLOOKUP(V64,物品id!$A:$B,2,FALSE)&amp;",")</f>
        <v>20037,</v>
      </c>
      <c r="AS64" s="37" t="str">
        <f>IF(W64="","",VLOOKUP(W64,物品id!$A:$B,2,FALSE)&amp;",")</f>
        <v>102,</v>
      </c>
      <c r="AT64" s="37" t="str">
        <f t="shared" si="177"/>
        <v>20037,102,</v>
      </c>
      <c r="AU64" s="37" t="str">
        <f t="shared" si="178"/>
        <v>[20037,102]</v>
      </c>
      <c r="AV64" s="37" t="str">
        <f t="shared" si="4"/>
        <v>2,</v>
      </c>
      <c r="AW64" s="37" t="str">
        <f t="shared" si="5"/>
        <v>1920,</v>
      </c>
      <c r="AX64" s="37" t="str">
        <f t="shared" si="179"/>
        <v>2,1920,</v>
      </c>
      <c r="AY64" s="37" t="str">
        <f t="shared" si="180"/>
        <v>[2,1920]</v>
      </c>
    </row>
    <row r="65" spans="1:51" s="37" customFormat="1" x14ac:dyDescent="0.2">
      <c r="A65" s="37">
        <v>3</v>
      </c>
      <c r="B65" s="37" t="s">
        <v>1035</v>
      </c>
      <c r="C65" s="37">
        <v>24</v>
      </c>
      <c r="D65" s="34" t="s">
        <v>1162</v>
      </c>
      <c r="E65" s="37" t="s">
        <v>1030</v>
      </c>
      <c r="F65" s="37">
        <v>3</v>
      </c>
      <c r="G65" s="37" t="s">
        <v>805</v>
      </c>
      <c r="H65" s="37" t="s">
        <v>816</v>
      </c>
      <c r="I65" s="37" t="s">
        <v>826</v>
      </c>
      <c r="J65" s="17">
        <v>0</v>
      </c>
      <c r="K65" s="17">
        <v>0</v>
      </c>
      <c r="L65" s="17">
        <v>0</v>
      </c>
      <c r="M65" s="35">
        <f>(IF(G65="",挂机玩法规划!$L$2,VLOOKUP(G65,物品id!A:D,4,FALSE)*IF(J65=0,1,4))*IF(J65=0,1,J65)+IF(H65="",挂机玩法规划!$L$2,VLOOKUP(H65,物品id!A:D,4,FALSE)*IF(K65=0,1,4))*IF(K65=0,1,K65)+IF(I65="",挂机玩法规划!$L$2,VLOOKUP(I65,物品id!A:D,4,FALSE)*IF(L65=0,1,4))*IF(L65=0,1,L65))/O65</f>
        <v>0.25</v>
      </c>
      <c r="N65" s="44">
        <f>IF(G65="",挂机玩法规划!$L$2,VLOOKUP(G65,物品id!A:D,4,FALSE)*4)+IF(H65="",挂机玩法规划!$L$2,VLOOKUP(H65,物品id!A:D,4,FALSE)*4)+IF(I65="",挂机玩法规划!$L$2,VLOOKUP(I65,物品id!A:D,4,FALSE)*4)</f>
        <v>240</v>
      </c>
      <c r="O65" s="46">
        <v>240</v>
      </c>
      <c r="P65" s="37">
        <v>3</v>
      </c>
      <c r="Q65" s="37">
        <v>3</v>
      </c>
      <c r="R65" s="37">
        <v>3</v>
      </c>
      <c r="S65" s="37">
        <v>720</v>
      </c>
      <c r="T65" s="37" t="s">
        <v>835</v>
      </c>
      <c r="U65" s="37">
        <v>720</v>
      </c>
      <c r="V65" s="37" t="s">
        <v>841</v>
      </c>
      <c r="W65" s="37" t="s">
        <v>200</v>
      </c>
      <c r="X65" s="37">
        <v>3</v>
      </c>
      <c r="Y65" s="37">
        <f>U65*挂机玩法规划!$O$4*VLOOKUP(E65,挂机玩法规划!$G$2:$I$17,3,FALSE)</f>
        <v>2880</v>
      </c>
      <c r="Z65" s="17">
        <f t="shared" si="6"/>
        <v>0.75</v>
      </c>
      <c r="AA65" s="17">
        <f t="shared" si="7"/>
        <v>720</v>
      </c>
      <c r="AB65" s="17">
        <f>(VLOOKUP(V65,物品id!A:E,5,FALSE)*挂机玩法填表!Z65+VLOOKUP(挂机玩法填表!W65,物品id!A:E,5,FALSE)*挂机玩法填表!AA65)/(U65/60)</f>
        <v>7.57</v>
      </c>
      <c r="AD65" s="17" t="str">
        <f>IF(G65="","",VLOOKUP(G65,物品id!$A:$B,2,FALSE)&amp;",")</f>
        <v>1221,</v>
      </c>
      <c r="AE65" s="17" t="str">
        <f>IF(H65="","",VLOOKUP(H65,物品id!$A:$B,2,FALSE)&amp;",")</f>
        <v>2221,</v>
      </c>
      <c r="AF65" s="17" t="str">
        <f>IF(I65="","",VLOOKUP(I65,物品id!$A:$B,2,FALSE)&amp;",")</f>
        <v>3221,</v>
      </c>
      <c r="AG65" s="37" t="str">
        <f t="shared" si="42"/>
        <v>1221,2221,3221,</v>
      </c>
      <c r="AH65" s="37" t="str">
        <f t="shared" si="43"/>
        <v>[1221,2221,3221]</v>
      </c>
      <c r="AI65" s="17" t="str">
        <f t="shared" si="100"/>
        <v>3,</v>
      </c>
      <c r="AJ65" s="17" t="str">
        <f t="shared" si="101"/>
        <v>3,</v>
      </c>
      <c r="AK65" s="17" t="str">
        <f t="shared" si="102"/>
        <v>3,</v>
      </c>
      <c r="AL65" s="37" t="str">
        <f t="shared" si="44"/>
        <v>3,3,3,</v>
      </c>
      <c r="AM65" s="37" t="str">
        <f t="shared" si="45"/>
        <v>[3,3,3]</v>
      </c>
      <c r="AN65" s="37" t="str">
        <f>VLOOKUP(T65,物品id!$A:$B,2,FALSE)&amp;","</f>
        <v>102,</v>
      </c>
      <c r="AO65" s="17" t="str">
        <f t="shared" si="8"/>
        <v>[102]</v>
      </c>
      <c r="AP65" s="37" t="str">
        <f t="shared" si="3"/>
        <v>720,</v>
      </c>
      <c r="AQ65" s="17" t="str">
        <f t="shared" si="9"/>
        <v>[720]</v>
      </c>
      <c r="AR65" s="37" t="str">
        <f>IF(V65="","",VLOOKUP(V65,物品id!$A:$B,2,FALSE)&amp;",")</f>
        <v>20037,</v>
      </c>
      <c r="AS65" s="37" t="str">
        <f>IF(W65="","",VLOOKUP(W65,物品id!$A:$B,2,FALSE)&amp;",")</f>
        <v>102,</v>
      </c>
      <c r="AT65" s="37" t="str">
        <f t="shared" si="46"/>
        <v>20037,102,</v>
      </c>
      <c r="AU65" s="37" t="str">
        <f t="shared" si="47"/>
        <v>[20037,102]</v>
      </c>
      <c r="AV65" s="37" t="str">
        <f t="shared" si="4"/>
        <v>3,</v>
      </c>
      <c r="AW65" s="37" t="str">
        <f t="shared" si="5"/>
        <v>2880,</v>
      </c>
      <c r="AX65" s="37" t="str">
        <f t="shared" si="48"/>
        <v>3,2880,</v>
      </c>
      <c r="AY65" s="37" t="str">
        <f t="shared" si="49"/>
        <v>[3,2880]</v>
      </c>
    </row>
    <row r="66" spans="1:51" s="37" customFormat="1" x14ac:dyDescent="0.2">
      <c r="A66" s="37">
        <v>4</v>
      </c>
      <c r="B66" s="37" t="s">
        <v>1035</v>
      </c>
      <c r="C66" s="37">
        <v>25</v>
      </c>
      <c r="D66" s="34" t="s">
        <v>1163</v>
      </c>
      <c r="E66" s="37" t="s">
        <v>135</v>
      </c>
      <c r="F66" s="37">
        <v>3</v>
      </c>
      <c r="G66" s="37" t="s">
        <v>803</v>
      </c>
      <c r="H66" s="37" t="s">
        <v>804</v>
      </c>
      <c r="I66" s="37" t="s">
        <v>806</v>
      </c>
      <c r="J66" s="17">
        <v>1</v>
      </c>
      <c r="K66" s="17">
        <v>1</v>
      </c>
      <c r="L66" s="17">
        <v>0.8</v>
      </c>
      <c r="M66" s="35">
        <f>(IF(G66="",挂机玩法规划!$L$2,VLOOKUP(G66,物品id!A:D,4,FALSE)*IF(J66=0,1,4))*IF(J66=0,1,J66)+IF(H66="",挂机玩法规划!$L$2,VLOOKUP(H66,物品id!A:D,4,FALSE)*IF(K66=0,1,4))*IF(K66=0,1,K66)+IF(I66="",挂机玩法规划!$L$2,VLOOKUP(I66,物品id!A:D,4,FALSE)*IF(L66=0,1,4))*IF(L66=0,1,L66))/O66</f>
        <v>0.9</v>
      </c>
      <c r="N66" s="44">
        <f>IF(G66="",挂机玩法规划!$L$2,VLOOKUP(G66,物品id!A:D,4,FALSE)*4)+IF(H66="",挂机玩法规划!$L$2,VLOOKUP(H66,物品id!A:D,4,FALSE)*4)+IF(I66="",挂机玩法规划!$L$2,VLOOKUP(I66,物品id!A:D,4,FALSE)*4)</f>
        <v>240</v>
      </c>
      <c r="O66" s="46">
        <v>240</v>
      </c>
      <c r="P66" s="37">
        <v>3</v>
      </c>
      <c r="Q66" s="37">
        <v>3</v>
      </c>
      <c r="R66" s="37">
        <v>3</v>
      </c>
      <c r="S66" s="37">
        <v>120</v>
      </c>
      <c r="T66" s="37" t="s">
        <v>835</v>
      </c>
      <c r="U66" s="37">
        <v>120</v>
      </c>
      <c r="V66" s="37" t="s">
        <v>1047</v>
      </c>
      <c r="W66" s="37" t="s">
        <v>200</v>
      </c>
      <c r="X66" s="37">
        <v>1</v>
      </c>
      <c r="Y66" s="37">
        <f>U66*挂机玩法规划!$O$4*VLOOKUP(E66,挂机玩法规划!$G$2:$I$17,3,FALSE)</f>
        <v>240</v>
      </c>
      <c r="Z66" s="17">
        <f t="shared" si="6"/>
        <v>0.9</v>
      </c>
      <c r="AA66" s="17">
        <f t="shared" si="7"/>
        <v>216</v>
      </c>
      <c r="AB66" s="17">
        <f>(VLOOKUP(V66,物品id!A:E,5,FALSE)*挂机玩法填表!Z66+VLOOKUP(挂机玩法填表!W66,物品id!A:E,5,FALSE)*挂机玩法填表!AA66)/(U66/60)</f>
        <v>56.375999999999998</v>
      </c>
      <c r="AD66" s="17" t="str">
        <f>IF(G66="","",VLOOKUP(G66,物品id!$A:$B,2,FALSE)&amp;",")</f>
        <v>1111,</v>
      </c>
      <c r="AE66" s="17" t="str">
        <f>IF(H66="","",VLOOKUP(H66,物品id!$A:$B,2,FALSE)&amp;",")</f>
        <v>1211,</v>
      </c>
      <c r="AF66" s="17" t="str">
        <f>IF(I66="","",VLOOKUP(I66,物品id!$A:$B,2,FALSE)&amp;",")</f>
        <v>1311,</v>
      </c>
      <c r="AG66" s="37" t="str">
        <f t="shared" si="42"/>
        <v>1111,1211,1311,</v>
      </c>
      <c r="AH66" s="37" t="str">
        <f t="shared" si="43"/>
        <v>[1111,1211,1311]</v>
      </c>
      <c r="AI66" s="17" t="str">
        <f t="shared" ref="AI66:AI97" si="181">IF(P66="","",P66&amp;",")</f>
        <v>3,</v>
      </c>
      <c r="AJ66" s="17" t="str">
        <f t="shared" ref="AJ66:AJ97" si="182">IF(Q66="","",Q66&amp;",")</f>
        <v>3,</v>
      </c>
      <c r="AK66" s="17" t="str">
        <f t="shared" ref="AK66:AK97" si="183">IF(R66="","",R66&amp;",")</f>
        <v>3,</v>
      </c>
      <c r="AL66" s="37" t="str">
        <f t="shared" si="44"/>
        <v>3,3,3,</v>
      </c>
      <c r="AM66" s="37" t="str">
        <f t="shared" si="45"/>
        <v>[3,3,3]</v>
      </c>
      <c r="AN66" s="37" t="str">
        <f>VLOOKUP(T66,物品id!$A:$B,2,FALSE)&amp;","</f>
        <v>102,</v>
      </c>
      <c r="AO66" s="17" t="str">
        <f t="shared" si="8"/>
        <v>[102]</v>
      </c>
      <c r="AP66" s="37" t="str">
        <f t="shared" ref="AP66:AP129" si="184">U66&amp;","</f>
        <v>120,</v>
      </c>
      <c r="AQ66" s="17" t="str">
        <f t="shared" si="9"/>
        <v>[120]</v>
      </c>
      <c r="AR66" s="37" t="str">
        <f>IF(V66="","",VLOOKUP(V66,物品id!$A:$B,2,FALSE)&amp;",")</f>
        <v>20033,</v>
      </c>
      <c r="AS66" s="37" t="str">
        <f>IF(W66="","",VLOOKUP(W66,物品id!$A:$B,2,FALSE)&amp;",")</f>
        <v>102,</v>
      </c>
      <c r="AT66" s="37" t="str">
        <f t="shared" si="46"/>
        <v>20033,102,</v>
      </c>
      <c r="AU66" s="37" t="str">
        <f t="shared" si="47"/>
        <v>[20033,102]</v>
      </c>
      <c r="AV66" s="37" t="str">
        <f t="shared" ref="AV66:AV129" si="185">IF(X66="","",X66&amp;",")</f>
        <v>1,</v>
      </c>
      <c r="AW66" s="37" t="str">
        <f t="shared" ref="AW66:AW129" si="186">IF(Y66="","",Y66&amp;",")</f>
        <v>240,</v>
      </c>
      <c r="AX66" s="37" t="str">
        <f t="shared" si="48"/>
        <v>1,240,</v>
      </c>
      <c r="AY66" s="37" t="str">
        <f t="shared" si="49"/>
        <v>[1,240]</v>
      </c>
    </row>
    <row r="67" spans="1:51" s="37" customFormat="1" x14ac:dyDescent="0.2">
      <c r="A67" s="37">
        <v>4</v>
      </c>
      <c r="B67" s="37" t="s">
        <v>1035</v>
      </c>
      <c r="C67" s="37">
        <v>25</v>
      </c>
      <c r="D67" s="34" t="s">
        <v>1163</v>
      </c>
      <c r="E67" s="37" t="s">
        <v>135</v>
      </c>
      <c r="F67" s="37">
        <v>3</v>
      </c>
      <c r="G67" s="37" t="s">
        <v>814</v>
      </c>
      <c r="H67" s="37" t="s">
        <v>815</v>
      </c>
      <c r="I67" s="37" t="s">
        <v>817</v>
      </c>
      <c r="J67" s="17">
        <v>1</v>
      </c>
      <c r="K67" s="17">
        <v>1</v>
      </c>
      <c r="L67" s="17">
        <v>0.8</v>
      </c>
      <c r="M67" s="35">
        <f>(IF(G67="",挂机玩法规划!$L$2,VLOOKUP(G67,物品id!A:D,4,FALSE)*IF(J67=0,1,4))*IF(J67=0,1,J67)+IF(H67="",挂机玩法规划!$L$2,VLOOKUP(H67,物品id!A:D,4,FALSE)*IF(K67=0,1,4))*IF(K67=0,1,K67)+IF(I67="",挂机玩法规划!$L$2,VLOOKUP(I67,物品id!A:D,4,FALSE)*IF(L67=0,1,4))*IF(L67=0,1,L67))/O67</f>
        <v>0.9</v>
      </c>
      <c r="N67" s="44">
        <f>IF(G67="",挂机玩法规划!$L$2,VLOOKUP(G67,物品id!A:D,4,FALSE)*4)+IF(H67="",挂机玩法规划!$L$2,VLOOKUP(H67,物品id!A:D,4,FALSE)*4)+IF(I67="",挂机玩法规划!$L$2,VLOOKUP(I67,物品id!A:D,4,FALSE)*4)</f>
        <v>240</v>
      </c>
      <c r="O67" s="46">
        <v>240</v>
      </c>
      <c r="P67" s="37">
        <v>3</v>
      </c>
      <c r="Q67" s="37">
        <v>3</v>
      </c>
      <c r="R67" s="37">
        <v>3</v>
      </c>
      <c r="S67" s="37">
        <v>120</v>
      </c>
      <c r="T67" s="37" t="s">
        <v>835</v>
      </c>
      <c r="U67" s="37">
        <v>120</v>
      </c>
      <c r="V67" s="37" t="s">
        <v>1047</v>
      </c>
      <c r="W67" s="37" t="s">
        <v>200</v>
      </c>
      <c r="X67" s="37">
        <v>1</v>
      </c>
      <c r="Y67" s="37">
        <f>U67*挂机玩法规划!$O$4*VLOOKUP(E67,挂机玩法规划!$G$2:$I$17,3,FALSE)</f>
        <v>240</v>
      </c>
      <c r="Z67" s="17">
        <f t="shared" ref="Z67:Z130" si="187">X67*M67</f>
        <v>0.9</v>
      </c>
      <c r="AA67" s="17">
        <f t="shared" ref="AA67:AA130" si="188">Y67*M67</f>
        <v>216</v>
      </c>
      <c r="AB67" s="17">
        <f>(VLOOKUP(V67,物品id!A:E,5,FALSE)*挂机玩法填表!Z67+VLOOKUP(挂机玩法填表!W67,物品id!A:E,5,FALSE)*挂机玩法填表!AA67)/(U67/60)</f>
        <v>56.375999999999998</v>
      </c>
      <c r="AD67" s="17" t="str">
        <f>IF(G67="","",VLOOKUP(G67,物品id!$A:$B,2,FALSE)&amp;",")</f>
        <v>2111,</v>
      </c>
      <c r="AE67" s="17" t="str">
        <f>IF(H67="","",VLOOKUP(H67,物品id!$A:$B,2,FALSE)&amp;",")</f>
        <v>2211,</v>
      </c>
      <c r="AF67" s="17" t="str">
        <f>IF(I67="","",VLOOKUP(I67,物品id!$A:$B,2,FALSE)&amp;",")</f>
        <v>2311,</v>
      </c>
      <c r="AG67" s="37" t="str">
        <f t="shared" ref="AG67:AG68" si="189">AD67&amp;AE67&amp;AF67</f>
        <v>2111,2211,2311,</v>
      </c>
      <c r="AH67" s="37" t="str">
        <f t="shared" ref="AH67:AH68" si="190">"["&amp;LEFT(AG67,LEN(AG67)-1)&amp;"]"</f>
        <v>[2111,2211,2311]</v>
      </c>
      <c r="AI67" s="17" t="str">
        <f t="shared" si="181"/>
        <v>3,</v>
      </c>
      <c r="AJ67" s="17" t="str">
        <f t="shared" si="182"/>
        <v>3,</v>
      </c>
      <c r="AK67" s="17" t="str">
        <f t="shared" si="183"/>
        <v>3,</v>
      </c>
      <c r="AL67" s="37" t="str">
        <f t="shared" ref="AL67:AL68" si="191">AI67&amp;AJ67&amp;AK67</f>
        <v>3,3,3,</v>
      </c>
      <c r="AM67" s="37" t="str">
        <f t="shared" ref="AM67:AM68" si="192">"["&amp;LEFT(AL67,LEN(AL67)-1)&amp;"]"</f>
        <v>[3,3,3]</v>
      </c>
      <c r="AN67" s="37" t="str">
        <f>VLOOKUP(T67,物品id!$A:$B,2,FALSE)&amp;","</f>
        <v>102,</v>
      </c>
      <c r="AO67" s="17" t="str">
        <f t="shared" ref="AO67:AO130" si="193">"["&amp;LEFT(AN67,LEN(AN67)-1)&amp;"]"</f>
        <v>[102]</v>
      </c>
      <c r="AP67" s="37" t="str">
        <f t="shared" si="184"/>
        <v>120,</v>
      </c>
      <c r="AQ67" s="17" t="str">
        <f t="shared" ref="AQ67:AQ130" si="194">"["&amp;LEFT(AP67,LEN(AP67)-1)&amp;"]"</f>
        <v>[120]</v>
      </c>
      <c r="AR67" s="37" t="str">
        <f>IF(V67="","",VLOOKUP(V67,物品id!$A:$B,2,FALSE)&amp;",")</f>
        <v>20033,</v>
      </c>
      <c r="AS67" s="37" t="str">
        <f>IF(W67="","",VLOOKUP(W67,物品id!$A:$B,2,FALSE)&amp;",")</f>
        <v>102,</v>
      </c>
      <c r="AT67" s="37" t="str">
        <f t="shared" ref="AT67:AT68" si="195">AR67&amp;AS67</f>
        <v>20033,102,</v>
      </c>
      <c r="AU67" s="37" t="str">
        <f t="shared" ref="AU67:AU68" si="196">"["&amp;LEFT(AT67,LEN(AT67)-1)&amp;"]"</f>
        <v>[20033,102]</v>
      </c>
      <c r="AV67" s="37" t="str">
        <f t="shared" si="185"/>
        <v>1,</v>
      </c>
      <c r="AW67" s="37" t="str">
        <f t="shared" si="186"/>
        <v>240,</v>
      </c>
      <c r="AX67" s="37" t="str">
        <f t="shared" ref="AX67:AX68" si="197">AV67&amp;AW67</f>
        <v>1,240,</v>
      </c>
      <c r="AY67" s="37" t="str">
        <f t="shared" ref="AY67:AY68" si="198">"["&amp;LEFT(AX67,LEN(AX67)-1)&amp;"]"</f>
        <v>[1,240]</v>
      </c>
    </row>
    <row r="68" spans="1:51" s="37" customFormat="1" x14ac:dyDescent="0.2">
      <c r="A68" s="37">
        <v>4</v>
      </c>
      <c r="B68" s="37" t="s">
        <v>1035</v>
      </c>
      <c r="C68" s="37">
        <v>25</v>
      </c>
      <c r="D68" s="34" t="s">
        <v>1163</v>
      </c>
      <c r="E68" s="37" t="s">
        <v>135</v>
      </c>
      <c r="F68" s="37">
        <v>3</v>
      </c>
      <c r="G68" s="37" t="s">
        <v>824</v>
      </c>
      <c r="H68" s="37" t="s">
        <v>825</v>
      </c>
      <c r="I68" s="37" t="s">
        <v>827</v>
      </c>
      <c r="J68" s="17">
        <v>1</v>
      </c>
      <c r="K68" s="17">
        <v>1</v>
      </c>
      <c r="L68" s="17">
        <v>0.8</v>
      </c>
      <c r="M68" s="35">
        <f>(IF(G68="",挂机玩法规划!$L$2,VLOOKUP(G68,物品id!A:D,4,FALSE)*IF(J68=0,1,4))*IF(J68=0,1,J68)+IF(H68="",挂机玩法规划!$L$2,VLOOKUP(H68,物品id!A:D,4,FALSE)*IF(K68=0,1,4))*IF(K68=0,1,K68)+IF(I68="",挂机玩法规划!$L$2,VLOOKUP(I68,物品id!A:D,4,FALSE)*IF(L68=0,1,4))*IF(L68=0,1,L68))/O68</f>
        <v>0.9</v>
      </c>
      <c r="N68" s="44">
        <f>IF(G68="",挂机玩法规划!$L$2,VLOOKUP(G68,物品id!A:D,4,FALSE)*4)+IF(H68="",挂机玩法规划!$L$2,VLOOKUP(H68,物品id!A:D,4,FALSE)*4)+IF(I68="",挂机玩法规划!$L$2,VLOOKUP(I68,物品id!A:D,4,FALSE)*4)</f>
        <v>240</v>
      </c>
      <c r="O68" s="46">
        <v>240</v>
      </c>
      <c r="P68" s="37">
        <v>3</v>
      </c>
      <c r="Q68" s="37">
        <v>3</v>
      </c>
      <c r="R68" s="37">
        <v>3</v>
      </c>
      <c r="S68" s="37">
        <v>120</v>
      </c>
      <c r="T68" s="37" t="s">
        <v>835</v>
      </c>
      <c r="U68" s="37">
        <v>120</v>
      </c>
      <c r="V68" s="37" t="s">
        <v>1047</v>
      </c>
      <c r="W68" s="37" t="s">
        <v>200</v>
      </c>
      <c r="X68" s="37">
        <v>1</v>
      </c>
      <c r="Y68" s="37">
        <f>U68*挂机玩法规划!$O$4*VLOOKUP(E68,挂机玩法规划!$G$2:$I$17,3,FALSE)</f>
        <v>240</v>
      </c>
      <c r="Z68" s="17">
        <f t="shared" si="187"/>
        <v>0.9</v>
      </c>
      <c r="AA68" s="17">
        <f t="shared" si="188"/>
        <v>216</v>
      </c>
      <c r="AB68" s="17">
        <f>(VLOOKUP(V68,物品id!A:E,5,FALSE)*挂机玩法填表!Z68+VLOOKUP(挂机玩法填表!W68,物品id!A:E,5,FALSE)*挂机玩法填表!AA68)/(U68/60)</f>
        <v>56.375999999999998</v>
      </c>
      <c r="AD68" s="17" t="str">
        <f>IF(G68="","",VLOOKUP(G68,物品id!$A:$B,2,FALSE)&amp;",")</f>
        <v>3111,</v>
      </c>
      <c r="AE68" s="17" t="str">
        <f>IF(H68="","",VLOOKUP(H68,物品id!$A:$B,2,FALSE)&amp;",")</f>
        <v>3211,</v>
      </c>
      <c r="AF68" s="17" t="str">
        <f>IF(I68="","",VLOOKUP(I68,物品id!$A:$B,2,FALSE)&amp;",")</f>
        <v>3311,</v>
      </c>
      <c r="AG68" s="37" t="str">
        <f t="shared" si="189"/>
        <v>3111,3211,3311,</v>
      </c>
      <c r="AH68" s="37" t="str">
        <f t="shared" si="190"/>
        <v>[3111,3211,3311]</v>
      </c>
      <c r="AI68" s="17" t="str">
        <f t="shared" si="181"/>
        <v>3,</v>
      </c>
      <c r="AJ68" s="17" t="str">
        <f t="shared" si="182"/>
        <v>3,</v>
      </c>
      <c r="AK68" s="17" t="str">
        <f t="shared" si="183"/>
        <v>3,</v>
      </c>
      <c r="AL68" s="37" t="str">
        <f t="shared" si="191"/>
        <v>3,3,3,</v>
      </c>
      <c r="AM68" s="37" t="str">
        <f t="shared" si="192"/>
        <v>[3,3,3]</v>
      </c>
      <c r="AN68" s="37" t="str">
        <f>VLOOKUP(T68,物品id!$A:$B,2,FALSE)&amp;","</f>
        <v>102,</v>
      </c>
      <c r="AO68" s="17" t="str">
        <f t="shared" si="193"/>
        <v>[102]</v>
      </c>
      <c r="AP68" s="37" t="str">
        <f t="shared" si="184"/>
        <v>120,</v>
      </c>
      <c r="AQ68" s="17" t="str">
        <f t="shared" si="194"/>
        <v>[120]</v>
      </c>
      <c r="AR68" s="37" t="str">
        <f>IF(V68="","",VLOOKUP(V68,物品id!$A:$B,2,FALSE)&amp;",")</f>
        <v>20033,</v>
      </c>
      <c r="AS68" s="37" t="str">
        <f>IF(W68="","",VLOOKUP(W68,物品id!$A:$B,2,FALSE)&amp;",")</f>
        <v>102,</v>
      </c>
      <c r="AT68" s="37" t="str">
        <f t="shared" si="195"/>
        <v>20033,102,</v>
      </c>
      <c r="AU68" s="37" t="str">
        <f t="shared" si="196"/>
        <v>[20033,102]</v>
      </c>
      <c r="AV68" s="37" t="str">
        <f t="shared" si="185"/>
        <v>1,</v>
      </c>
      <c r="AW68" s="37" t="str">
        <f t="shared" si="186"/>
        <v>240,</v>
      </c>
      <c r="AX68" s="37" t="str">
        <f t="shared" si="197"/>
        <v>1,240,</v>
      </c>
      <c r="AY68" s="37" t="str">
        <f t="shared" si="198"/>
        <v>[1,240]</v>
      </c>
    </row>
    <row r="69" spans="1:51" s="37" customFormat="1" x14ac:dyDescent="0.2">
      <c r="A69" s="37">
        <v>4</v>
      </c>
      <c r="B69" s="37" t="s">
        <v>1035</v>
      </c>
      <c r="C69" s="37">
        <v>26</v>
      </c>
      <c r="D69" s="34" t="s">
        <v>1164</v>
      </c>
      <c r="E69" s="37" t="s">
        <v>135</v>
      </c>
      <c r="F69" s="37">
        <v>3</v>
      </c>
      <c r="G69" s="37" t="s">
        <v>803</v>
      </c>
      <c r="H69" s="37" t="s">
        <v>804</v>
      </c>
      <c r="I69" s="37" t="s">
        <v>806</v>
      </c>
      <c r="J69" s="17">
        <v>1</v>
      </c>
      <c r="K69" s="17">
        <v>1</v>
      </c>
      <c r="L69" s="17">
        <v>0.8</v>
      </c>
      <c r="M69" s="35">
        <f>(IF(G69="",挂机玩法规划!$L$2,VLOOKUP(G69,物品id!A:D,4,FALSE)*IF(J69=0,1,4))*IF(J69=0,1,J69)+IF(H69="",挂机玩法规划!$L$2,VLOOKUP(H69,物品id!A:D,4,FALSE)*IF(K69=0,1,4))*IF(K69=0,1,K69)+IF(I69="",挂机玩法规划!$L$2,VLOOKUP(I69,物品id!A:D,4,FALSE)*IF(L69=0,1,4))*IF(L69=0,1,L69))/O69</f>
        <v>0.9</v>
      </c>
      <c r="N69" s="44">
        <f>IF(G69="",挂机玩法规划!$L$2,VLOOKUP(G69,物品id!A:D,4,FALSE)*4)+IF(H69="",挂机玩法规划!$L$2,VLOOKUP(H69,物品id!A:D,4,FALSE)*4)+IF(I69="",挂机玩法规划!$L$2,VLOOKUP(I69,物品id!A:D,4,FALSE)*4)</f>
        <v>240</v>
      </c>
      <c r="O69" s="46">
        <v>240</v>
      </c>
      <c r="P69" s="37">
        <v>3</v>
      </c>
      <c r="Q69" s="37">
        <v>3</v>
      </c>
      <c r="R69" s="37">
        <v>3</v>
      </c>
      <c r="S69" s="37">
        <v>240</v>
      </c>
      <c r="T69" s="37" t="s">
        <v>835</v>
      </c>
      <c r="U69" s="37">
        <v>240</v>
      </c>
      <c r="V69" s="37" t="s">
        <v>837</v>
      </c>
      <c r="W69" s="37" t="s">
        <v>200</v>
      </c>
      <c r="X69" s="37">
        <v>2</v>
      </c>
      <c r="Y69" s="37">
        <f>U69*挂机玩法规划!$O$4*VLOOKUP(E69,挂机玩法规划!$G$2:$I$17,3,FALSE)</f>
        <v>480</v>
      </c>
      <c r="Z69" s="17">
        <f t="shared" si="187"/>
        <v>1.8</v>
      </c>
      <c r="AA69" s="17">
        <f t="shared" si="188"/>
        <v>432</v>
      </c>
      <c r="AB69" s="17">
        <f>(VLOOKUP(V69,物品id!A:E,5,FALSE)*挂机玩法填表!Z69+VLOOKUP(挂机玩法填表!W69,物品id!A:E,5,FALSE)*挂机玩法填表!AA69)/(U69/60)</f>
        <v>56.375999999999998</v>
      </c>
      <c r="AD69" s="17" t="str">
        <f>IF(G69="","",VLOOKUP(G69,物品id!$A:$B,2,FALSE)&amp;",")</f>
        <v>1111,</v>
      </c>
      <c r="AE69" s="17" t="str">
        <f>IF(H69="","",VLOOKUP(H69,物品id!$A:$B,2,FALSE)&amp;",")</f>
        <v>1211,</v>
      </c>
      <c r="AF69" s="17" t="str">
        <f>IF(I69="","",VLOOKUP(I69,物品id!$A:$B,2,FALSE)&amp;",")</f>
        <v>1311,</v>
      </c>
      <c r="AG69" s="37" t="str">
        <f t="shared" si="42"/>
        <v>1111,1211,1311,</v>
      </c>
      <c r="AH69" s="37" t="str">
        <f t="shared" si="43"/>
        <v>[1111,1211,1311]</v>
      </c>
      <c r="AI69" s="17" t="str">
        <f t="shared" si="181"/>
        <v>3,</v>
      </c>
      <c r="AJ69" s="17" t="str">
        <f t="shared" si="182"/>
        <v>3,</v>
      </c>
      <c r="AK69" s="17" t="str">
        <f t="shared" si="183"/>
        <v>3,</v>
      </c>
      <c r="AL69" s="37" t="str">
        <f t="shared" si="44"/>
        <v>3,3,3,</v>
      </c>
      <c r="AM69" s="37" t="str">
        <f t="shared" si="45"/>
        <v>[3,3,3]</v>
      </c>
      <c r="AN69" s="37" t="str">
        <f>VLOOKUP(T69,物品id!$A:$B,2,FALSE)&amp;","</f>
        <v>102,</v>
      </c>
      <c r="AO69" s="17" t="str">
        <f t="shared" si="193"/>
        <v>[102]</v>
      </c>
      <c r="AP69" s="37" t="str">
        <f t="shared" si="184"/>
        <v>240,</v>
      </c>
      <c r="AQ69" s="17" t="str">
        <f t="shared" si="194"/>
        <v>[240]</v>
      </c>
      <c r="AR69" s="37" t="str">
        <f>IF(V69="","",VLOOKUP(V69,物品id!$A:$B,2,FALSE)&amp;",")</f>
        <v>20033,</v>
      </c>
      <c r="AS69" s="37" t="str">
        <f>IF(W69="","",VLOOKUP(W69,物品id!$A:$B,2,FALSE)&amp;",")</f>
        <v>102,</v>
      </c>
      <c r="AT69" s="37" t="str">
        <f t="shared" si="46"/>
        <v>20033,102,</v>
      </c>
      <c r="AU69" s="37" t="str">
        <f t="shared" si="47"/>
        <v>[20033,102]</v>
      </c>
      <c r="AV69" s="37" t="str">
        <f t="shared" si="185"/>
        <v>2,</v>
      </c>
      <c r="AW69" s="37" t="str">
        <f t="shared" si="186"/>
        <v>480,</v>
      </c>
      <c r="AX69" s="37" t="str">
        <f t="shared" si="48"/>
        <v>2,480,</v>
      </c>
      <c r="AY69" s="37" t="str">
        <f t="shared" si="49"/>
        <v>[2,480]</v>
      </c>
    </row>
    <row r="70" spans="1:51" s="37" customFormat="1" x14ac:dyDescent="0.2">
      <c r="A70" s="37">
        <v>4</v>
      </c>
      <c r="B70" s="37" t="s">
        <v>1035</v>
      </c>
      <c r="C70" s="37">
        <v>26</v>
      </c>
      <c r="D70" s="34" t="s">
        <v>1164</v>
      </c>
      <c r="E70" s="37" t="s">
        <v>135</v>
      </c>
      <c r="F70" s="37">
        <v>3</v>
      </c>
      <c r="G70" s="37" t="s">
        <v>814</v>
      </c>
      <c r="H70" s="37" t="s">
        <v>815</v>
      </c>
      <c r="I70" s="37" t="s">
        <v>817</v>
      </c>
      <c r="J70" s="17">
        <v>1</v>
      </c>
      <c r="K70" s="17">
        <v>1</v>
      </c>
      <c r="L70" s="17">
        <v>0.8</v>
      </c>
      <c r="M70" s="35">
        <f>(IF(G70="",挂机玩法规划!$L$2,VLOOKUP(G70,物品id!A:D,4,FALSE)*IF(J70=0,1,4))*IF(J70=0,1,J70)+IF(H70="",挂机玩法规划!$L$2,VLOOKUP(H70,物品id!A:D,4,FALSE)*IF(K70=0,1,4))*IF(K70=0,1,K70)+IF(I70="",挂机玩法规划!$L$2,VLOOKUP(I70,物品id!A:D,4,FALSE)*IF(L70=0,1,4))*IF(L70=0,1,L70))/O70</f>
        <v>0.9</v>
      </c>
      <c r="N70" s="44">
        <f>IF(G70="",挂机玩法规划!$L$2,VLOOKUP(G70,物品id!A:D,4,FALSE)*4)+IF(H70="",挂机玩法规划!$L$2,VLOOKUP(H70,物品id!A:D,4,FALSE)*4)+IF(I70="",挂机玩法规划!$L$2,VLOOKUP(I70,物品id!A:D,4,FALSE)*4)</f>
        <v>240</v>
      </c>
      <c r="O70" s="46">
        <v>240</v>
      </c>
      <c r="P70" s="37">
        <v>3</v>
      </c>
      <c r="Q70" s="37">
        <v>3</v>
      </c>
      <c r="R70" s="37">
        <v>3</v>
      </c>
      <c r="S70" s="37">
        <v>240</v>
      </c>
      <c r="T70" s="37" t="s">
        <v>835</v>
      </c>
      <c r="U70" s="37">
        <v>240</v>
      </c>
      <c r="V70" s="37" t="s">
        <v>837</v>
      </c>
      <c r="W70" s="37" t="s">
        <v>200</v>
      </c>
      <c r="X70" s="37">
        <v>2</v>
      </c>
      <c r="Y70" s="37">
        <f>U70*挂机玩法规划!$O$4*VLOOKUP(E70,挂机玩法规划!$G$2:$I$17,3,FALSE)</f>
        <v>480</v>
      </c>
      <c r="Z70" s="17">
        <f t="shared" si="187"/>
        <v>1.8</v>
      </c>
      <c r="AA70" s="17">
        <f t="shared" si="188"/>
        <v>432</v>
      </c>
      <c r="AB70" s="17">
        <f>(VLOOKUP(V70,物品id!A:E,5,FALSE)*挂机玩法填表!Z70+VLOOKUP(挂机玩法填表!W70,物品id!A:E,5,FALSE)*挂机玩法填表!AA70)/(U70/60)</f>
        <v>56.375999999999998</v>
      </c>
      <c r="AD70" s="17" t="str">
        <f>IF(G70="","",VLOOKUP(G70,物品id!$A:$B,2,FALSE)&amp;",")</f>
        <v>2111,</v>
      </c>
      <c r="AE70" s="17" t="str">
        <f>IF(H70="","",VLOOKUP(H70,物品id!$A:$B,2,FALSE)&amp;",")</f>
        <v>2211,</v>
      </c>
      <c r="AF70" s="17" t="str">
        <f>IF(I70="","",VLOOKUP(I70,物品id!$A:$B,2,FALSE)&amp;",")</f>
        <v>2311,</v>
      </c>
      <c r="AG70" s="37" t="str">
        <f t="shared" ref="AG70:AG71" si="199">AD70&amp;AE70&amp;AF70</f>
        <v>2111,2211,2311,</v>
      </c>
      <c r="AH70" s="37" t="str">
        <f t="shared" ref="AH70:AH71" si="200">"["&amp;LEFT(AG70,LEN(AG70)-1)&amp;"]"</f>
        <v>[2111,2211,2311]</v>
      </c>
      <c r="AI70" s="17" t="str">
        <f t="shared" si="181"/>
        <v>3,</v>
      </c>
      <c r="AJ70" s="17" t="str">
        <f t="shared" si="182"/>
        <v>3,</v>
      </c>
      <c r="AK70" s="17" t="str">
        <f t="shared" si="183"/>
        <v>3,</v>
      </c>
      <c r="AL70" s="37" t="str">
        <f t="shared" ref="AL70:AL71" si="201">AI70&amp;AJ70&amp;AK70</f>
        <v>3,3,3,</v>
      </c>
      <c r="AM70" s="37" t="str">
        <f t="shared" ref="AM70:AM71" si="202">"["&amp;LEFT(AL70,LEN(AL70)-1)&amp;"]"</f>
        <v>[3,3,3]</v>
      </c>
      <c r="AN70" s="37" t="str">
        <f>VLOOKUP(T70,物品id!$A:$B,2,FALSE)&amp;","</f>
        <v>102,</v>
      </c>
      <c r="AO70" s="17" t="str">
        <f t="shared" si="193"/>
        <v>[102]</v>
      </c>
      <c r="AP70" s="37" t="str">
        <f t="shared" si="184"/>
        <v>240,</v>
      </c>
      <c r="AQ70" s="17" t="str">
        <f t="shared" si="194"/>
        <v>[240]</v>
      </c>
      <c r="AR70" s="37" t="str">
        <f>IF(V70="","",VLOOKUP(V70,物品id!$A:$B,2,FALSE)&amp;",")</f>
        <v>20033,</v>
      </c>
      <c r="AS70" s="37" t="str">
        <f>IF(W70="","",VLOOKUP(W70,物品id!$A:$B,2,FALSE)&amp;",")</f>
        <v>102,</v>
      </c>
      <c r="AT70" s="37" t="str">
        <f t="shared" ref="AT70:AT71" si="203">AR70&amp;AS70</f>
        <v>20033,102,</v>
      </c>
      <c r="AU70" s="37" t="str">
        <f t="shared" ref="AU70:AU71" si="204">"["&amp;LEFT(AT70,LEN(AT70)-1)&amp;"]"</f>
        <v>[20033,102]</v>
      </c>
      <c r="AV70" s="37" t="str">
        <f t="shared" si="185"/>
        <v>2,</v>
      </c>
      <c r="AW70" s="37" t="str">
        <f t="shared" si="186"/>
        <v>480,</v>
      </c>
      <c r="AX70" s="37" t="str">
        <f t="shared" ref="AX70:AX71" si="205">AV70&amp;AW70</f>
        <v>2,480,</v>
      </c>
      <c r="AY70" s="37" t="str">
        <f t="shared" ref="AY70:AY71" si="206">"["&amp;LEFT(AX70,LEN(AX70)-1)&amp;"]"</f>
        <v>[2,480]</v>
      </c>
    </row>
    <row r="71" spans="1:51" s="37" customFormat="1" x14ac:dyDescent="0.2">
      <c r="A71" s="37">
        <v>4</v>
      </c>
      <c r="B71" s="37" t="s">
        <v>1035</v>
      </c>
      <c r="C71" s="37">
        <v>26</v>
      </c>
      <c r="D71" s="34" t="s">
        <v>1164</v>
      </c>
      <c r="E71" s="37" t="s">
        <v>135</v>
      </c>
      <c r="F71" s="37">
        <v>3</v>
      </c>
      <c r="G71" s="37" t="s">
        <v>824</v>
      </c>
      <c r="H71" s="37" t="s">
        <v>825</v>
      </c>
      <c r="I71" s="37" t="s">
        <v>827</v>
      </c>
      <c r="J71" s="17">
        <v>1</v>
      </c>
      <c r="K71" s="17">
        <v>1</v>
      </c>
      <c r="L71" s="17">
        <v>0.8</v>
      </c>
      <c r="M71" s="35">
        <f>(IF(G71="",挂机玩法规划!$L$2,VLOOKUP(G71,物品id!A:D,4,FALSE)*IF(J71=0,1,4))*IF(J71=0,1,J71)+IF(H71="",挂机玩法规划!$L$2,VLOOKUP(H71,物品id!A:D,4,FALSE)*IF(K71=0,1,4))*IF(K71=0,1,K71)+IF(I71="",挂机玩法规划!$L$2,VLOOKUP(I71,物品id!A:D,4,FALSE)*IF(L71=0,1,4))*IF(L71=0,1,L71))/O71</f>
        <v>0.9</v>
      </c>
      <c r="N71" s="44">
        <f>IF(G71="",挂机玩法规划!$L$2,VLOOKUP(G71,物品id!A:D,4,FALSE)*4)+IF(H71="",挂机玩法规划!$L$2,VLOOKUP(H71,物品id!A:D,4,FALSE)*4)+IF(I71="",挂机玩法规划!$L$2,VLOOKUP(I71,物品id!A:D,4,FALSE)*4)</f>
        <v>240</v>
      </c>
      <c r="O71" s="46">
        <v>240</v>
      </c>
      <c r="P71" s="37">
        <v>3</v>
      </c>
      <c r="Q71" s="37">
        <v>3</v>
      </c>
      <c r="R71" s="37">
        <v>3</v>
      </c>
      <c r="S71" s="37">
        <v>240</v>
      </c>
      <c r="T71" s="37" t="s">
        <v>835</v>
      </c>
      <c r="U71" s="37">
        <v>240</v>
      </c>
      <c r="V71" s="37" t="s">
        <v>837</v>
      </c>
      <c r="W71" s="37" t="s">
        <v>200</v>
      </c>
      <c r="X71" s="37">
        <v>2</v>
      </c>
      <c r="Y71" s="37">
        <f>U71*挂机玩法规划!$O$4*VLOOKUP(E71,挂机玩法规划!$G$2:$I$17,3,FALSE)</f>
        <v>480</v>
      </c>
      <c r="Z71" s="17">
        <f t="shared" si="187"/>
        <v>1.8</v>
      </c>
      <c r="AA71" s="17">
        <f t="shared" si="188"/>
        <v>432</v>
      </c>
      <c r="AB71" s="17">
        <f>(VLOOKUP(V71,物品id!A:E,5,FALSE)*挂机玩法填表!Z71+VLOOKUP(挂机玩法填表!W71,物品id!A:E,5,FALSE)*挂机玩法填表!AA71)/(U71/60)</f>
        <v>56.375999999999998</v>
      </c>
      <c r="AD71" s="17" t="str">
        <f>IF(G71="","",VLOOKUP(G71,物品id!$A:$B,2,FALSE)&amp;",")</f>
        <v>3111,</v>
      </c>
      <c r="AE71" s="17" t="str">
        <f>IF(H71="","",VLOOKUP(H71,物品id!$A:$B,2,FALSE)&amp;",")</f>
        <v>3211,</v>
      </c>
      <c r="AF71" s="17" t="str">
        <f>IF(I71="","",VLOOKUP(I71,物品id!$A:$B,2,FALSE)&amp;",")</f>
        <v>3311,</v>
      </c>
      <c r="AG71" s="37" t="str">
        <f t="shared" si="199"/>
        <v>3111,3211,3311,</v>
      </c>
      <c r="AH71" s="37" t="str">
        <f t="shared" si="200"/>
        <v>[3111,3211,3311]</v>
      </c>
      <c r="AI71" s="17" t="str">
        <f t="shared" si="181"/>
        <v>3,</v>
      </c>
      <c r="AJ71" s="17" t="str">
        <f t="shared" si="182"/>
        <v>3,</v>
      </c>
      <c r="AK71" s="17" t="str">
        <f t="shared" si="183"/>
        <v>3,</v>
      </c>
      <c r="AL71" s="37" t="str">
        <f t="shared" si="201"/>
        <v>3,3,3,</v>
      </c>
      <c r="AM71" s="37" t="str">
        <f t="shared" si="202"/>
        <v>[3,3,3]</v>
      </c>
      <c r="AN71" s="37" t="str">
        <f>VLOOKUP(T71,物品id!$A:$B,2,FALSE)&amp;","</f>
        <v>102,</v>
      </c>
      <c r="AO71" s="17" t="str">
        <f t="shared" si="193"/>
        <v>[102]</v>
      </c>
      <c r="AP71" s="37" t="str">
        <f t="shared" si="184"/>
        <v>240,</v>
      </c>
      <c r="AQ71" s="17" t="str">
        <f t="shared" si="194"/>
        <v>[240]</v>
      </c>
      <c r="AR71" s="37" t="str">
        <f>IF(V71="","",VLOOKUP(V71,物品id!$A:$B,2,FALSE)&amp;",")</f>
        <v>20033,</v>
      </c>
      <c r="AS71" s="37" t="str">
        <f>IF(W71="","",VLOOKUP(W71,物品id!$A:$B,2,FALSE)&amp;",")</f>
        <v>102,</v>
      </c>
      <c r="AT71" s="37" t="str">
        <f t="shared" si="203"/>
        <v>20033,102,</v>
      </c>
      <c r="AU71" s="37" t="str">
        <f t="shared" si="204"/>
        <v>[20033,102]</v>
      </c>
      <c r="AV71" s="37" t="str">
        <f t="shared" si="185"/>
        <v>2,</v>
      </c>
      <c r="AW71" s="37" t="str">
        <f t="shared" si="186"/>
        <v>480,</v>
      </c>
      <c r="AX71" s="37" t="str">
        <f t="shared" si="205"/>
        <v>2,480,</v>
      </c>
      <c r="AY71" s="37" t="str">
        <f t="shared" si="206"/>
        <v>[2,480]</v>
      </c>
    </row>
    <row r="72" spans="1:51" s="37" customFormat="1" x14ac:dyDescent="0.2">
      <c r="A72" s="37">
        <v>4</v>
      </c>
      <c r="B72" s="37" t="s">
        <v>1035</v>
      </c>
      <c r="C72" s="37">
        <v>27</v>
      </c>
      <c r="D72" s="34" t="s">
        <v>1165</v>
      </c>
      <c r="E72" s="37" t="s">
        <v>135</v>
      </c>
      <c r="F72" s="37">
        <v>3</v>
      </c>
      <c r="G72" s="37" t="s">
        <v>804</v>
      </c>
      <c r="H72" s="37" t="s">
        <v>805</v>
      </c>
      <c r="I72" s="37" t="s">
        <v>806</v>
      </c>
      <c r="J72" s="17">
        <v>1</v>
      </c>
      <c r="K72" s="17">
        <v>0</v>
      </c>
      <c r="L72" s="17">
        <v>0.8</v>
      </c>
      <c r="M72" s="35">
        <f>(IF(G72="",挂机玩法规划!$L$2,VLOOKUP(G72,物品id!A:D,4,FALSE)*IF(J72=0,1,4))*IF(J72=0,1,J72)+IF(H72="",挂机玩法规划!$L$2,VLOOKUP(H72,物品id!A:D,4,FALSE)*IF(K72=0,1,4))*IF(K72=0,1,K72)+IF(I72="",挂机玩法规划!$L$2,VLOOKUP(I72,物品id!A:D,4,FALSE)*IF(L72=0,1,4))*IF(L72=0,1,L72))/O72</f>
        <v>0.7</v>
      </c>
      <c r="N72" s="44">
        <f>IF(G72="",挂机玩法规划!$L$2,VLOOKUP(G72,物品id!A:D,4,FALSE)*4)+IF(H72="",挂机玩法规划!$L$2,VLOOKUP(H72,物品id!A:D,4,FALSE)*4)+IF(I72="",挂机玩法规划!$L$2,VLOOKUP(I72,物品id!A:D,4,FALSE)*4)</f>
        <v>280</v>
      </c>
      <c r="O72" s="46">
        <v>280</v>
      </c>
      <c r="P72" s="37">
        <v>3</v>
      </c>
      <c r="Q72" s="37">
        <v>3</v>
      </c>
      <c r="R72" s="37">
        <v>3</v>
      </c>
      <c r="S72" s="37">
        <v>480</v>
      </c>
      <c r="T72" s="37" t="s">
        <v>835</v>
      </c>
      <c r="U72" s="37">
        <v>480</v>
      </c>
      <c r="V72" s="37" t="s">
        <v>1047</v>
      </c>
      <c r="W72" s="37" t="s">
        <v>200</v>
      </c>
      <c r="X72" s="37">
        <v>3</v>
      </c>
      <c r="Y72" s="37">
        <f>U72*挂机玩法规划!$O$4*VLOOKUP(E72,挂机玩法规划!$G$2:$I$17,3,FALSE)</f>
        <v>960</v>
      </c>
      <c r="Z72" s="17">
        <f t="shared" si="187"/>
        <v>2.0999999999999996</v>
      </c>
      <c r="AA72" s="17">
        <f t="shared" si="188"/>
        <v>672</v>
      </c>
      <c r="AB72" s="17">
        <f>(VLOOKUP(V72,物品id!A:E,5,FALSE)*挂机玩法填表!Z72+VLOOKUP(挂机玩法填表!W72,物品id!A:E,5,FALSE)*挂机玩法填表!AA72)/(U72/60)</f>
        <v>33.347999999999992</v>
      </c>
      <c r="AD72" s="17" t="str">
        <f>IF(G72="","",VLOOKUP(G72,物品id!$A:$B,2,FALSE)&amp;",")</f>
        <v>1211,</v>
      </c>
      <c r="AE72" s="17" t="str">
        <f>IF(H72="","",VLOOKUP(H72,物品id!$A:$B,2,FALSE)&amp;",")</f>
        <v>1221,</v>
      </c>
      <c r="AF72" s="17" t="str">
        <f>IF(I72="","",VLOOKUP(I72,物品id!$A:$B,2,FALSE)&amp;",")</f>
        <v>1311,</v>
      </c>
      <c r="AG72" s="37" t="str">
        <f t="shared" si="42"/>
        <v>1211,1221,1311,</v>
      </c>
      <c r="AH72" s="37" t="str">
        <f t="shared" si="43"/>
        <v>[1211,1221,1311]</v>
      </c>
      <c r="AI72" s="17" t="str">
        <f t="shared" si="181"/>
        <v>3,</v>
      </c>
      <c r="AJ72" s="17" t="str">
        <f t="shared" si="182"/>
        <v>3,</v>
      </c>
      <c r="AK72" s="17" t="str">
        <f t="shared" si="183"/>
        <v>3,</v>
      </c>
      <c r="AL72" s="37" t="str">
        <f t="shared" si="44"/>
        <v>3,3,3,</v>
      </c>
      <c r="AM72" s="37" t="str">
        <f t="shared" si="45"/>
        <v>[3,3,3]</v>
      </c>
      <c r="AN72" s="37" t="str">
        <f>VLOOKUP(T72,物品id!$A:$B,2,FALSE)&amp;","</f>
        <v>102,</v>
      </c>
      <c r="AO72" s="17" t="str">
        <f t="shared" si="193"/>
        <v>[102]</v>
      </c>
      <c r="AP72" s="37" t="str">
        <f t="shared" si="184"/>
        <v>480,</v>
      </c>
      <c r="AQ72" s="17" t="str">
        <f t="shared" si="194"/>
        <v>[480]</v>
      </c>
      <c r="AR72" s="37" t="str">
        <f>IF(V72="","",VLOOKUP(V72,物品id!$A:$B,2,FALSE)&amp;",")</f>
        <v>20033,</v>
      </c>
      <c r="AS72" s="37" t="str">
        <f>IF(W72="","",VLOOKUP(W72,物品id!$A:$B,2,FALSE)&amp;",")</f>
        <v>102,</v>
      </c>
      <c r="AT72" s="37" t="str">
        <f t="shared" si="46"/>
        <v>20033,102,</v>
      </c>
      <c r="AU72" s="37" t="str">
        <f t="shared" si="47"/>
        <v>[20033,102]</v>
      </c>
      <c r="AV72" s="37" t="str">
        <f t="shared" si="185"/>
        <v>3,</v>
      </c>
      <c r="AW72" s="37" t="str">
        <f t="shared" si="186"/>
        <v>960,</v>
      </c>
      <c r="AX72" s="37" t="str">
        <f t="shared" si="48"/>
        <v>3,960,</v>
      </c>
      <c r="AY72" s="37" t="str">
        <f t="shared" si="49"/>
        <v>[3,960]</v>
      </c>
    </row>
    <row r="73" spans="1:51" s="37" customFormat="1" x14ac:dyDescent="0.2">
      <c r="A73" s="37">
        <v>4</v>
      </c>
      <c r="B73" s="37" t="s">
        <v>1035</v>
      </c>
      <c r="C73" s="37">
        <v>27</v>
      </c>
      <c r="D73" s="34" t="s">
        <v>1165</v>
      </c>
      <c r="E73" s="37" t="s">
        <v>135</v>
      </c>
      <c r="F73" s="37">
        <v>3</v>
      </c>
      <c r="G73" s="37" t="s">
        <v>815</v>
      </c>
      <c r="H73" s="37" t="s">
        <v>816</v>
      </c>
      <c r="I73" s="37" t="s">
        <v>817</v>
      </c>
      <c r="J73" s="17">
        <v>1</v>
      </c>
      <c r="K73" s="17">
        <v>0</v>
      </c>
      <c r="L73" s="17">
        <v>0.8</v>
      </c>
      <c r="M73" s="35">
        <f>(IF(G73="",挂机玩法规划!$L$2,VLOOKUP(G73,物品id!A:D,4,FALSE)*IF(J73=0,1,4))*IF(J73=0,1,J73)+IF(H73="",挂机玩法规划!$L$2,VLOOKUP(H73,物品id!A:D,4,FALSE)*IF(K73=0,1,4))*IF(K73=0,1,K73)+IF(I73="",挂机玩法规划!$L$2,VLOOKUP(I73,物品id!A:D,4,FALSE)*IF(L73=0,1,4))*IF(L73=0,1,L73))/O73</f>
        <v>0.7</v>
      </c>
      <c r="N73" s="44">
        <f>IF(G73="",挂机玩法规划!$L$2,VLOOKUP(G73,物品id!A:D,4,FALSE)*4)+IF(H73="",挂机玩法规划!$L$2,VLOOKUP(H73,物品id!A:D,4,FALSE)*4)+IF(I73="",挂机玩法规划!$L$2,VLOOKUP(I73,物品id!A:D,4,FALSE)*4)</f>
        <v>280</v>
      </c>
      <c r="O73" s="46">
        <v>280</v>
      </c>
      <c r="P73" s="37">
        <v>3</v>
      </c>
      <c r="Q73" s="37">
        <v>3</v>
      </c>
      <c r="R73" s="37">
        <v>3</v>
      </c>
      <c r="S73" s="37">
        <v>480</v>
      </c>
      <c r="T73" s="37" t="s">
        <v>835</v>
      </c>
      <c r="U73" s="37">
        <v>480</v>
      </c>
      <c r="V73" s="37" t="s">
        <v>1047</v>
      </c>
      <c r="W73" s="37" t="s">
        <v>200</v>
      </c>
      <c r="X73" s="37">
        <v>3</v>
      </c>
      <c r="Y73" s="37">
        <f>U73*挂机玩法规划!$O$4*VLOOKUP(E73,挂机玩法规划!$G$2:$I$17,3,FALSE)</f>
        <v>960</v>
      </c>
      <c r="Z73" s="17">
        <f t="shared" si="187"/>
        <v>2.0999999999999996</v>
      </c>
      <c r="AA73" s="17">
        <f t="shared" si="188"/>
        <v>672</v>
      </c>
      <c r="AB73" s="17">
        <f>(VLOOKUP(V73,物品id!A:E,5,FALSE)*挂机玩法填表!Z73+VLOOKUP(挂机玩法填表!W73,物品id!A:E,5,FALSE)*挂机玩法填表!AA73)/(U73/60)</f>
        <v>33.347999999999992</v>
      </c>
      <c r="AD73" s="17" t="str">
        <f>IF(G73="","",VLOOKUP(G73,物品id!$A:$B,2,FALSE)&amp;",")</f>
        <v>2211,</v>
      </c>
      <c r="AE73" s="17" t="str">
        <f>IF(H73="","",VLOOKUP(H73,物品id!$A:$B,2,FALSE)&amp;",")</f>
        <v>2221,</v>
      </c>
      <c r="AF73" s="17" t="str">
        <f>IF(I73="","",VLOOKUP(I73,物品id!$A:$B,2,FALSE)&amp;",")</f>
        <v>2311,</v>
      </c>
      <c r="AG73" s="37" t="str">
        <f t="shared" ref="AG73:AG74" si="207">AD73&amp;AE73&amp;AF73</f>
        <v>2211,2221,2311,</v>
      </c>
      <c r="AH73" s="37" t="str">
        <f t="shared" ref="AH73:AH74" si="208">"["&amp;LEFT(AG73,LEN(AG73)-1)&amp;"]"</f>
        <v>[2211,2221,2311]</v>
      </c>
      <c r="AI73" s="17" t="str">
        <f t="shared" si="181"/>
        <v>3,</v>
      </c>
      <c r="AJ73" s="17" t="str">
        <f t="shared" si="182"/>
        <v>3,</v>
      </c>
      <c r="AK73" s="17" t="str">
        <f t="shared" si="183"/>
        <v>3,</v>
      </c>
      <c r="AL73" s="37" t="str">
        <f t="shared" ref="AL73:AL74" si="209">AI73&amp;AJ73&amp;AK73</f>
        <v>3,3,3,</v>
      </c>
      <c r="AM73" s="37" t="str">
        <f t="shared" ref="AM73:AM74" si="210">"["&amp;LEFT(AL73,LEN(AL73)-1)&amp;"]"</f>
        <v>[3,3,3]</v>
      </c>
      <c r="AN73" s="37" t="str">
        <f>VLOOKUP(T73,物品id!$A:$B,2,FALSE)&amp;","</f>
        <v>102,</v>
      </c>
      <c r="AO73" s="17" t="str">
        <f t="shared" si="193"/>
        <v>[102]</v>
      </c>
      <c r="AP73" s="37" t="str">
        <f t="shared" si="184"/>
        <v>480,</v>
      </c>
      <c r="AQ73" s="17" t="str">
        <f t="shared" si="194"/>
        <v>[480]</v>
      </c>
      <c r="AR73" s="37" t="str">
        <f>IF(V73="","",VLOOKUP(V73,物品id!$A:$B,2,FALSE)&amp;",")</f>
        <v>20033,</v>
      </c>
      <c r="AS73" s="37" t="str">
        <f>IF(W73="","",VLOOKUP(W73,物品id!$A:$B,2,FALSE)&amp;",")</f>
        <v>102,</v>
      </c>
      <c r="AT73" s="37" t="str">
        <f t="shared" ref="AT73:AT74" si="211">AR73&amp;AS73</f>
        <v>20033,102,</v>
      </c>
      <c r="AU73" s="37" t="str">
        <f t="shared" ref="AU73:AU74" si="212">"["&amp;LEFT(AT73,LEN(AT73)-1)&amp;"]"</f>
        <v>[20033,102]</v>
      </c>
      <c r="AV73" s="37" t="str">
        <f t="shared" si="185"/>
        <v>3,</v>
      </c>
      <c r="AW73" s="37" t="str">
        <f t="shared" si="186"/>
        <v>960,</v>
      </c>
      <c r="AX73" s="37" t="str">
        <f t="shared" ref="AX73:AX74" si="213">AV73&amp;AW73</f>
        <v>3,960,</v>
      </c>
      <c r="AY73" s="37" t="str">
        <f t="shared" ref="AY73:AY74" si="214">"["&amp;LEFT(AX73,LEN(AX73)-1)&amp;"]"</f>
        <v>[3,960]</v>
      </c>
    </row>
    <row r="74" spans="1:51" s="37" customFormat="1" x14ac:dyDescent="0.2">
      <c r="A74" s="37">
        <v>4</v>
      </c>
      <c r="B74" s="37" t="s">
        <v>1035</v>
      </c>
      <c r="C74" s="37">
        <v>27</v>
      </c>
      <c r="D74" s="34" t="s">
        <v>1165</v>
      </c>
      <c r="E74" s="37" t="s">
        <v>135</v>
      </c>
      <c r="F74" s="37">
        <v>3</v>
      </c>
      <c r="G74" s="37" t="s">
        <v>825</v>
      </c>
      <c r="H74" s="37" t="s">
        <v>826</v>
      </c>
      <c r="I74" s="37" t="s">
        <v>827</v>
      </c>
      <c r="J74" s="17">
        <v>1</v>
      </c>
      <c r="K74" s="17">
        <v>0</v>
      </c>
      <c r="L74" s="17">
        <v>0.8</v>
      </c>
      <c r="M74" s="35">
        <f>(IF(G74="",挂机玩法规划!$L$2,VLOOKUP(G74,物品id!A:D,4,FALSE)*IF(J74=0,1,4))*IF(J74=0,1,J74)+IF(H74="",挂机玩法规划!$L$2,VLOOKUP(H74,物品id!A:D,4,FALSE)*IF(K74=0,1,4))*IF(K74=0,1,K74)+IF(I74="",挂机玩法规划!$L$2,VLOOKUP(I74,物品id!A:D,4,FALSE)*IF(L74=0,1,4))*IF(L74=0,1,L74))/O74</f>
        <v>0.7</v>
      </c>
      <c r="N74" s="44">
        <f>IF(G74="",挂机玩法规划!$L$2,VLOOKUP(G74,物品id!A:D,4,FALSE)*4)+IF(H74="",挂机玩法规划!$L$2,VLOOKUP(H74,物品id!A:D,4,FALSE)*4)+IF(I74="",挂机玩法规划!$L$2,VLOOKUP(I74,物品id!A:D,4,FALSE)*4)</f>
        <v>280</v>
      </c>
      <c r="O74" s="46">
        <v>280</v>
      </c>
      <c r="P74" s="37">
        <v>3</v>
      </c>
      <c r="Q74" s="37">
        <v>3</v>
      </c>
      <c r="R74" s="37">
        <v>3</v>
      </c>
      <c r="S74" s="37">
        <v>480</v>
      </c>
      <c r="T74" s="37" t="s">
        <v>835</v>
      </c>
      <c r="U74" s="37">
        <v>480</v>
      </c>
      <c r="V74" s="37" t="s">
        <v>1047</v>
      </c>
      <c r="W74" s="37" t="s">
        <v>200</v>
      </c>
      <c r="X74" s="37">
        <v>3</v>
      </c>
      <c r="Y74" s="37">
        <f>U74*挂机玩法规划!$O$4*VLOOKUP(E74,挂机玩法规划!$G$2:$I$17,3,FALSE)</f>
        <v>960</v>
      </c>
      <c r="Z74" s="17">
        <f t="shared" si="187"/>
        <v>2.0999999999999996</v>
      </c>
      <c r="AA74" s="17">
        <f t="shared" si="188"/>
        <v>672</v>
      </c>
      <c r="AB74" s="17">
        <f>(VLOOKUP(V74,物品id!A:E,5,FALSE)*挂机玩法填表!Z74+VLOOKUP(挂机玩法填表!W74,物品id!A:E,5,FALSE)*挂机玩法填表!AA74)/(U74/60)</f>
        <v>33.347999999999992</v>
      </c>
      <c r="AD74" s="17" t="str">
        <f>IF(G74="","",VLOOKUP(G74,物品id!$A:$B,2,FALSE)&amp;",")</f>
        <v>3211,</v>
      </c>
      <c r="AE74" s="17" t="str">
        <f>IF(H74="","",VLOOKUP(H74,物品id!$A:$B,2,FALSE)&amp;",")</f>
        <v>3221,</v>
      </c>
      <c r="AF74" s="17" t="str">
        <f>IF(I74="","",VLOOKUP(I74,物品id!$A:$B,2,FALSE)&amp;",")</f>
        <v>3311,</v>
      </c>
      <c r="AG74" s="37" t="str">
        <f t="shared" si="207"/>
        <v>3211,3221,3311,</v>
      </c>
      <c r="AH74" s="37" t="str">
        <f t="shared" si="208"/>
        <v>[3211,3221,3311]</v>
      </c>
      <c r="AI74" s="17" t="str">
        <f t="shared" si="181"/>
        <v>3,</v>
      </c>
      <c r="AJ74" s="17" t="str">
        <f t="shared" si="182"/>
        <v>3,</v>
      </c>
      <c r="AK74" s="17" t="str">
        <f t="shared" si="183"/>
        <v>3,</v>
      </c>
      <c r="AL74" s="37" t="str">
        <f t="shared" si="209"/>
        <v>3,3,3,</v>
      </c>
      <c r="AM74" s="37" t="str">
        <f t="shared" si="210"/>
        <v>[3,3,3]</v>
      </c>
      <c r="AN74" s="37" t="str">
        <f>VLOOKUP(T74,物品id!$A:$B,2,FALSE)&amp;","</f>
        <v>102,</v>
      </c>
      <c r="AO74" s="17" t="str">
        <f t="shared" si="193"/>
        <v>[102]</v>
      </c>
      <c r="AP74" s="37" t="str">
        <f t="shared" si="184"/>
        <v>480,</v>
      </c>
      <c r="AQ74" s="17" t="str">
        <f t="shared" si="194"/>
        <v>[480]</v>
      </c>
      <c r="AR74" s="37" t="str">
        <f>IF(V74="","",VLOOKUP(V74,物品id!$A:$B,2,FALSE)&amp;",")</f>
        <v>20033,</v>
      </c>
      <c r="AS74" s="37" t="str">
        <f>IF(W74="","",VLOOKUP(W74,物品id!$A:$B,2,FALSE)&amp;",")</f>
        <v>102,</v>
      </c>
      <c r="AT74" s="37" t="str">
        <f t="shared" si="211"/>
        <v>20033,102,</v>
      </c>
      <c r="AU74" s="37" t="str">
        <f t="shared" si="212"/>
        <v>[20033,102]</v>
      </c>
      <c r="AV74" s="37" t="str">
        <f t="shared" si="185"/>
        <v>3,</v>
      </c>
      <c r="AW74" s="37" t="str">
        <f t="shared" si="186"/>
        <v>960,</v>
      </c>
      <c r="AX74" s="37" t="str">
        <f t="shared" si="213"/>
        <v>3,960,</v>
      </c>
      <c r="AY74" s="37" t="str">
        <f t="shared" si="214"/>
        <v>[3,960]</v>
      </c>
    </row>
    <row r="75" spans="1:51" s="37" customFormat="1" x14ac:dyDescent="0.2">
      <c r="A75" s="37">
        <v>4</v>
      </c>
      <c r="B75" s="37" t="s">
        <v>1035</v>
      </c>
      <c r="C75" s="37">
        <v>28</v>
      </c>
      <c r="D75" s="34" t="s">
        <v>1166</v>
      </c>
      <c r="E75" s="37" t="s">
        <v>135</v>
      </c>
      <c r="F75" s="37">
        <v>3</v>
      </c>
      <c r="G75" s="37" t="s">
        <v>806</v>
      </c>
      <c r="H75" s="37" t="s">
        <v>817</v>
      </c>
      <c r="I75" s="37" t="s">
        <v>827</v>
      </c>
      <c r="J75" s="17">
        <v>0.8</v>
      </c>
      <c r="K75" s="17">
        <v>0.8</v>
      </c>
      <c r="L75" s="17">
        <v>0.8</v>
      </c>
      <c r="M75" s="35">
        <f>(IF(G75="",挂机玩法规划!$L$2,VLOOKUP(G75,物品id!A:D,4,FALSE)*IF(J75=0,1,4))*IF(J75=0,1,J75)+IF(H75="",挂机玩法规划!$L$2,VLOOKUP(H75,物品id!A:D,4,FALSE)*IF(K75=0,1,4))*IF(K75=0,1,K75)+IF(I75="",挂机玩法规划!$L$2,VLOOKUP(I75,物品id!A:D,4,FALSE)*IF(L75=0,1,4))*IF(L75=0,1,L75))/O75</f>
        <v>0.8</v>
      </c>
      <c r="N75" s="44">
        <f>IF(G75="",挂机玩法规划!$L$2,VLOOKUP(G75,物品id!A:D,4,FALSE)*4)+IF(H75="",挂机玩法规划!$L$2,VLOOKUP(H75,物品id!A:D,4,FALSE)*4)+IF(I75="",挂机玩法规划!$L$2,VLOOKUP(I75,物品id!A:D,4,FALSE)*4)</f>
        <v>360</v>
      </c>
      <c r="O75" s="46">
        <v>360</v>
      </c>
      <c r="P75" s="37">
        <v>3</v>
      </c>
      <c r="Q75" s="37">
        <v>3</v>
      </c>
      <c r="R75" s="37">
        <v>3</v>
      </c>
      <c r="S75" s="37">
        <v>720</v>
      </c>
      <c r="T75" s="37" t="s">
        <v>835</v>
      </c>
      <c r="U75" s="37">
        <v>720</v>
      </c>
      <c r="V75" s="37" t="s">
        <v>837</v>
      </c>
      <c r="W75" s="37" t="s">
        <v>200</v>
      </c>
      <c r="X75" s="37">
        <v>4</v>
      </c>
      <c r="Y75" s="37">
        <f>U75*挂机玩法规划!$O$4*VLOOKUP(E75,挂机玩法规划!$G$2:$I$17,3,FALSE)</f>
        <v>1440</v>
      </c>
      <c r="Z75" s="17">
        <f t="shared" si="187"/>
        <v>3.2</v>
      </c>
      <c r="AA75" s="17">
        <f t="shared" si="188"/>
        <v>1152</v>
      </c>
      <c r="AB75" s="17">
        <f>(VLOOKUP(V75,物品id!A:E,5,FALSE)*挂机玩法填表!Z75+VLOOKUP(挂机玩法填表!W75,物品id!A:E,5,FALSE)*挂机玩法填表!AA75)/(U75/60)</f>
        <v>34.112000000000002</v>
      </c>
      <c r="AD75" s="17" t="str">
        <f>IF(G75="","",VLOOKUP(G75,物品id!$A:$B,2,FALSE)&amp;",")</f>
        <v>1311,</v>
      </c>
      <c r="AE75" s="17" t="str">
        <f>IF(H75="","",VLOOKUP(H75,物品id!$A:$B,2,FALSE)&amp;",")</f>
        <v>2311,</v>
      </c>
      <c r="AF75" s="17" t="str">
        <f>IF(I75="","",VLOOKUP(I75,物品id!$A:$B,2,FALSE)&amp;",")</f>
        <v>3311,</v>
      </c>
      <c r="AG75" s="37" t="str">
        <f t="shared" si="42"/>
        <v>1311,2311,3311,</v>
      </c>
      <c r="AH75" s="37" t="str">
        <f t="shared" si="43"/>
        <v>[1311,2311,3311]</v>
      </c>
      <c r="AI75" s="17" t="str">
        <f t="shared" si="181"/>
        <v>3,</v>
      </c>
      <c r="AJ75" s="17" t="str">
        <f t="shared" si="182"/>
        <v>3,</v>
      </c>
      <c r="AK75" s="17" t="str">
        <f t="shared" si="183"/>
        <v>3,</v>
      </c>
      <c r="AL75" s="37" t="str">
        <f t="shared" si="44"/>
        <v>3,3,3,</v>
      </c>
      <c r="AM75" s="37" t="str">
        <f t="shared" si="45"/>
        <v>[3,3,3]</v>
      </c>
      <c r="AN75" s="37" t="str">
        <f>VLOOKUP(T75,物品id!$A:$B,2,FALSE)&amp;","</f>
        <v>102,</v>
      </c>
      <c r="AO75" s="17" t="str">
        <f t="shared" si="193"/>
        <v>[102]</v>
      </c>
      <c r="AP75" s="37" t="str">
        <f t="shared" si="184"/>
        <v>720,</v>
      </c>
      <c r="AQ75" s="17" t="str">
        <f t="shared" si="194"/>
        <v>[720]</v>
      </c>
      <c r="AR75" s="37" t="str">
        <f>IF(V75="","",VLOOKUP(V75,物品id!$A:$B,2,FALSE)&amp;",")</f>
        <v>20033,</v>
      </c>
      <c r="AS75" s="37" t="str">
        <f>IF(W75="","",VLOOKUP(W75,物品id!$A:$B,2,FALSE)&amp;",")</f>
        <v>102,</v>
      </c>
      <c r="AT75" s="37" t="str">
        <f t="shared" si="46"/>
        <v>20033,102,</v>
      </c>
      <c r="AU75" s="37" t="str">
        <f t="shared" si="47"/>
        <v>[20033,102]</v>
      </c>
      <c r="AV75" s="37" t="str">
        <f t="shared" si="185"/>
        <v>4,</v>
      </c>
      <c r="AW75" s="37" t="str">
        <f t="shared" si="186"/>
        <v>1440,</v>
      </c>
      <c r="AX75" s="37" t="str">
        <f t="shared" si="48"/>
        <v>4,1440,</v>
      </c>
      <c r="AY75" s="37" t="str">
        <f t="shared" si="49"/>
        <v>[4,1440]</v>
      </c>
    </row>
    <row r="76" spans="1:51" s="37" customFormat="1" x14ac:dyDescent="0.2">
      <c r="A76" s="37">
        <v>5</v>
      </c>
      <c r="B76" s="37" t="s">
        <v>1035</v>
      </c>
      <c r="C76" s="37">
        <v>29</v>
      </c>
      <c r="D76" s="34" t="s">
        <v>1167</v>
      </c>
      <c r="E76" s="37" t="s">
        <v>1031</v>
      </c>
      <c r="F76" s="37">
        <v>3</v>
      </c>
      <c r="G76" s="37" t="s">
        <v>806</v>
      </c>
      <c r="H76" s="37" t="s">
        <v>807</v>
      </c>
      <c r="J76" s="17">
        <v>0.8</v>
      </c>
      <c r="K76" s="17">
        <v>0</v>
      </c>
      <c r="L76" s="17">
        <v>1</v>
      </c>
      <c r="M76" s="35">
        <f>(IF(G76="",挂机玩法规划!$L$2,VLOOKUP(G76,物品id!A:D,4,FALSE)*IF(J76=0,1,4))*IF(J76=0,1,J76)+IF(H76="",挂机玩法规划!$L$2,VLOOKUP(H76,物品id!A:D,4,FALSE)*IF(K76=0,1,4))*IF(K76=0,1,K76)+IF(I76="",挂机玩法规划!$L$2,VLOOKUP(I76,物品id!A:D,4,FALSE)*IF(L76=0,1,4))*IF(L76=0,1,L76))/O76</f>
        <v>0.54400000000000004</v>
      </c>
      <c r="N76" s="44">
        <f>IF(G76="",挂机玩法规划!$L$2,VLOOKUP(G76,物品id!A:D,4,FALSE)*4)+IF(H76="",挂机玩法规划!$L$2,VLOOKUP(H76,物品id!A:D,4,FALSE)*4)+IF(I76="",挂机玩法规划!$L$2,VLOOKUP(I76,物品id!A:D,4,FALSE)*4)</f>
        <v>250</v>
      </c>
      <c r="O76" s="46">
        <v>250</v>
      </c>
      <c r="P76" s="37">
        <v>3</v>
      </c>
      <c r="Q76" s="37">
        <v>3</v>
      </c>
      <c r="R76" s="37" t="s">
        <v>1131</v>
      </c>
      <c r="S76" s="37">
        <v>120</v>
      </c>
      <c r="T76" s="37" t="s">
        <v>835</v>
      </c>
      <c r="U76" s="37">
        <v>120</v>
      </c>
      <c r="V76" s="37" t="s">
        <v>1047</v>
      </c>
      <c r="W76" s="37" t="s">
        <v>200</v>
      </c>
      <c r="X76" s="37">
        <v>1</v>
      </c>
      <c r="Y76" s="37">
        <f>U76*挂机玩法规划!$O$4*VLOOKUP(E76,挂机玩法规划!$G$2:$I$17,3,FALSE)</f>
        <v>720</v>
      </c>
      <c r="Z76" s="17">
        <f t="shared" si="187"/>
        <v>0.54400000000000004</v>
      </c>
      <c r="AA76" s="17">
        <f t="shared" si="188"/>
        <v>391.68</v>
      </c>
      <c r="AB76" s="17">
        <f>(VLOOKUP(V76,物品id!A:E,5,FALSE)*挂机玩法填表!Z76+VLOOKUP(挂机玩法填表!W76,物品id!A:E,5,FALSE)*挂机玩法填表!AA76)/(U76/60)</f>
        <v>36.948480000000004</v>
      </c>
      <c r="AD76" s="17" t="str">
        <f>IF(G76="","",VLOOKUP(G76,物品id!$A:$B,2,FALSE)&amp;",")</f>
        <v>1311,</v>
      </c>
      <c r="AE76" s="17" t="str">
        <f>IF(H76="","",VLOOKUP(H76,物品id!$A:$B,2,FALSE)&amp;",")</f>
        <v>1321,</v>
      </c>
      <c r="AF76" s="17" t="str">
        <f>IF(I76="","",VLOOKUP(I76,物品id!$A:$B,2,FALSE)&amp;",")</f>
        <v/>
      </c>
      <c r="AG76" s="37" t="str">
        <f t="shared" si="42"/>
        <v>1311,1321,</v>
      </c>
      <c r="AH76" s="37" t="str">
        <f t="shared" si="43"/>
        <v>[1311,1321]</v>
      </c>
      <c r="AI76" s="17" t="str">
        <f t="shared" si="181"/>
        <v>3,</v>
      </c>
      <c r="AJ76" s="17" t="str">
        <f t="shared" si="182"/>
        <v>3,</v>
      </c>
      <c r="AK76" s="17" t="str">
        <f t="shared" si="183"/>
        <v/>
      </c>
      <c r="AL76" s="37" t="str">
        <f t="shared" si="44"/>
        <v>3,3,</v>
      </c>
      <c r="AM76" s="37" t="str">
        <f t="shared" si="45"/>
        <v>[3,3]</v>
      </c>
      <c r="AN76" s="37" t="str">
        <f>VLOOKUP(T76,物品id!$A:$B,2,FALSE)&amp;","</f>
        <v>102,</v>
      </c>
      <c r="AO76" s="17" t="str">
        <f t="shared" si="193"/>
        <v>[102]</v>
      </c>
      <c r="AP76" s="37" t="str">
        <f t="shared" si="184"/>
        <v>120,</v>
      </c>
      <c r="AQ76" s="17" t="str">
        <f t="shared" si="194"/>
        <v>[120]</v>
      </c>
      <c r="AR76" s="37" t="str">
        <f>IF(V76="","",VLOOKUP(V76,物品id!$A:$B,2,FALSE)&amp;",")</f>
        <v>20033,</v>
      </c>
      <c r="AS76" s="37" t="str">
        <f>IF(W76="","",VLOOKUP(W76,物品id!$A:$B,2,FALSE)&amp;",")</f>
        <v>102,</v>
      </c>
      <c r="AT76" s="37" t="str">
        <f t="shared" si="46"/>
        <v>20033,102,</v>
      </c>
      <c r="AU76" s="37" t="str">
        <f t="shared" si="47"/>
        <v>[20033,102]</v>
      </c>
      <c r="AV76" s="37" t="str">
        <f t="shared" si="185"/>
        <v>1,</v>
      </c>
      <c r="AW76" s="37" t="str">
        <f t="shared" si="186"/>
        <v>720,</v>
      </c>
      <c r="AX76" s="37" t="str">
        <f t="shared" si="48"/>
        <v>1,720,</v>
      </c>
      <c r="AY76" s="37" t="str">
        <f t="shared" si="49"/>
        <v>[1,720]</v>
      </c>
    </row>
    <row r="77" spans="1:51" s="37" customFormat="1" x14ac:dyDescent="0.2">
      <c r="A77" s="37">
        <v>5</v>
      </c>
      <c r="B77" s="37" t="s">
        <v>1035</v>
      </c>
      <c r="C77" s="37">
        <v>29</v>
      </c>
      <c r="D77" s="34" t="s">
        <v>1167</v>
      </c>
      <c r="E77" s="37" t="s">
        <v>1017</v>
      </c>
      <c r="F77" s="37">
        <v>3</v>
      </c>
      <c r="G77" s="37" t="s">
        <v>817</v>
      </c>
      <c r="H77" s="37" t="s">
        <v>818</v>
      </c>
      <c r="J77" s="17">
        <v>0.8</v>
      </c>
      <c r="K77" s="17">
        <v>0</v>
      </c>
      <c r="L77" s="17">
        <v>1</v>
      </c>
      <c r="M77" s="35">
        <f>(IF(G77="",挂机玩法规划!$L$2,VLOOKUP(G77,物品id!A:D,4,FALSE)*IF(J77=0,1,4))*IF(J77=0,1,J77)+IF(H77="",挂机玩法规划!$L$2,VLOOKUP(H77,物品id!A:D,4,FALSE)*IF(K77=0,1,4))*IF(K77=0,1,K77)+IF(I77="",挂机玩法规划!$L$2,VLOOKUP(I77,物品id!A:D,4,FALSE)*IF(L77=0,1,4))*IF(L77=0,1,L77))/O77</f>
        <v>0.54400000000000004</v>
      </c>
      <c r="N77" s="44">
        <f>IF(G77="",挂机玩法规划!$L$2,VLOOKUP(G77,物品id!A:D,4,FALSE)*4)+IF(H77="",挂机玩法规划!$L$2,VLOOKUP(H77,物品id!A:D,4,FALSE)*4)+IF(I77="",挂机玩法规划!$L$2,VLOOKUP(I77,物品id!A:D,4,FALSE)*4)</f>
        <v>250</v>
      </c>
      <c r="O77" s="46">
        <v>250</v>
      </c>
      <c r="P77" s="37">
        <v>3</v>
      </c>
      <c r="Q77" s="37">
        <v>3</v>
      </c>
      <c r="R77" s="37" t="s">
        <v>1131</v>
      </c>
      <c r="S77" s="37">
        <v>120</v>
      </c>
      <c r="T77" s="37" t="s">
        <v>835</v>
      </c>
      <c r="U77" s="37">
        <v>120</v>
      </c>
      <c r="V77" s="37" t="s">
        <v>1047</v>
      </c>
      <c r="W77" s="37" t="s">
        <v>200</v>
      </c>
      <c r="X77" s="37">
        <v>1</v>
      </c>
      <c r="Y77" s="37">
        <f>U77*挂机玩法规划!$O$4*VLOOKUP(E77,挂机玩法规划!$G$2:$I$17,3,FALSE)</f>
        <v>720</v>
      </c>
      <c r="Z77" s="17">
        <f t="shared" si="187"/>
        <v>0.54400000000000004</v>
      </c>
      <c r="AA77" s="17">
        <f t="shared" si="188"/>
        <v>391.68</v>
      </c>
      <c r="AB77" s="17">
        <f>(VLOOKUP(V77,物品id!A:E,5,FALSE)*挂机玩法填表!Z77+VLOOKUP(挂机玩法填表!W77,物品id!A:E,5,FALSE)*挂机玩法填表!AA77)/(U77/60)</f>
        <v>36.948480000000004</v>
      </c>
      <c r="AD77" s="17" t="str">
        <f>IF(G77="","",VLOOKUP(G77,物品id!$A:$B,2,FALSE)&amp;",")</f>
        <v>2311,</v>
      </c>
      <c r="AE77" s="17" t="str">
        <f>IF(H77="","",VLOOKUP(H77,物品id!$A:$B,2,FALSE)&amp;",")</f>
        <v>2321,</v>
      </c>
      <c r="AF77" s="17" t="str">
        <f>IF(I77="","",VLOOKUP(I77,物品id!$A:$B,2,FALSE)&amp;",")</f>
        <v/>
      </c>
      <c r="AG77" s="37" t="str">
        <f t="shared" ref="AG77:AG78" si="215">AD77&amp;AE77&amp;AF77</f>
        <v>2311,2321,</v>
      </c>
      <c r="AH77" s="37" t="str">
        <f t="shared" ref="AH77:AH78" si="216">"["&amp;LEFT(AG77,LEN(AG77)-1)&amp;"]"</f>
        <v>[2311,2321]</v>
      </c>
      <c r="AI77" s="17" t="str">
        <f t="shared" si="181"/>
        <v>3,</v>
      </c>
      <c r="AJ77" s="17" t="str">
        <f t="shared" si="182"/>
        <v>3,</v>
      </c>
      <c r="AK77" s="17" t="str">
        <f t="shared" si="183"/>
        <v/>
      </c>
      <c r="AL77" s="37" t="str">
        <f t="shared" ref="AL77:AL78" si="217">AI77&amp;AJ77&amp;AK77</f>
        <v>3,3,</v>
      </c>
      <c r="AM77" s="37" t="str">
        <f t="shared" ref="AM77:AM78" si="218">"["&amp;LEFT(AL77,LEN(AL77)-1)&amp;"]"</f>
        <v>[3,3]</v>
      </c>
      <c r="AN77" s="37" t="str">
        <f>VLOOKUP(T77,物品id!$A:$B,2,FALSE)&amp;","</f>
        <v>102,</v>
      </c>
      <c r="AO77" s="17" t="str">
        <f t="shared" si="193"/>
        <v>[102]</v>
      </c>
      <c r="AP77" s="37" t="str">
        <f t="shared" si="184"/>
        <v>120,</v>
      </c>
      <c r="AQ77" s="17" t="str">
        <f t="shared" si="194"/>
        <v>[120]</v>
      </c>
      <c r="AR77" s="37" t="str">
        <f>IF(V77="","",VLOOKUP(V77,物品id!$A:$B,2,FALSE)&amp;",")</f>
        <v>20033,</v>
      </c>
      <c r="AS77" s="37" t="str">
        <f>IF(W77="","",VLOOKUP(W77,物品id!$A:$B,2,FALSE)&amp;",")</f>
        <v>102,</v>
      </c>
      <c r="AT77" s="37" t="str">
        <f t="shared" ref="AT77:AT78" si="219">AR77&amp;AS77</f>
        <v>20033,102,</v>
      </c>
      <c r="AU77" s="37" t="str">
        <f t="shared" ref="AU77:AU78" si="220">"["&amp;LEFT(AT77,LEN(AT77)-1)&amp;"]"</f>
        <v>[20033,102]</v>
      </c>
      <c r="AV77" s="37" t="str">
        <f t="shared" si="185"/>
        <v>1,</v>
      </c>
      <c r="AW77" s="37" t="str">
        <f t="shared" si="186"/>
        <v>720,</v>
      </c>
      <c r="AX77" s="37" t="str">
        <f t="shared" ref="AX77:AX78" si="221">AV77&amp;AW77</f>
        <v>1,720,</v>
      </c>
      <c r="AY77" s="37" t="str">
        <f t="shared" ref="AY77:AY78" si="222">"["&amp;LEFT(AX77,LEN(AX77)-1)&amp;"]"</f>
        <v>[1,720]</v>
      </c>
    </row>
    <row r="78" spans="1:51" s="37" customFormat="1" x14ac:dyDescent="0.2">
      <c r="A78" s="37">
        <v>5</v>
      </c>
      <c r="B78" s="37" t="s">
        <v>1035</v>
      </c>
      <c r="C78" s="37">
        <v>29</v>
      </c>
      <c r="D78" s="34" t="s">
        <v>1167</v>
      </c>
      <c r="E78" s="37" t="s">
        <v>1017</v>
      </c>
      <c r="F78" s="37">
        <v>3</v>
      </c>
      <c r="G78" s="37" t="s">
        <v>827</v>
      </c>
      <c r="H78" s="37" t="s">
        <v>828</v>
      </c>
      <c r="J78" s="17">
        <v>0.8</v>
      </c>
      <c r="K78" s="17">
        <v>0</v>
      </c>
      <c r="L78" s="17">
        <v>1</v>
      </c>
      <c r="M78" s="35">
        <f>(IF(G78="",挂机玩法规划!$L$2,VLOOKUP(G78,物品id!A:D,4,FALSE)*IF(J78=0,1,4))*IF(J78=0,1,J78)+IF(H78="",挂机玩法规划!$L$2,VLOOKUP(H78,物品id!A:D,4,FALSE)*IF(K78=0,1,4))*IF(K78=0,1,K78)+IF(I78="",挂机玩法规划!$L$2,VLOOKUP(I78,物品id!A:D,4,FALSE)*IF(L78=0,1,4))*IF(L78=0,1,L78))/O78</f>
        <v>0.54400000000000004</v>
      </c>
      <c r="N78" s="44">
        <f>IF(G78="",挂机玩法规划!$L$2,VLOOKUP(G78,物品id!A:D,4,FALSE)*4)+IF(H78="",挂机玩法规划!$L$2,VLOOKUP(H78,物品id!A:D,4,FALSE)*4)+IF(I78="",挂机玩法规划!$L$2,VLOOKUP(I78,物品id!A:D,4,FALSE)*4)</f>
        <v>250</v>
      </c>
      <c r="O78" s="46">
        <v>250</v>
      </c>
      <c r="P78" s="37">
        <v>3</v>
      </c>
      <c r="Q78" s="37">
        <v>3</v>
      </c>
      <c r="R78" s="37" t="s">
        <v>1131</v>
      </c>
      <c r="S78" s="37">
        <v>120</v>
      </c>
      <c r="T78" s="37" t="s">
        <v>835</v>
      </c>
      <c r="U78" s="37">
        <v>120</v>
      </c>
      <c r="V78" s="37" t="s">
        <v>1047</v>
      </c>
      <c r="W78" s="37" t="s">
        <v>200</v>
      </c>
      <c r="X78" s="37">
        <v>1</v>
      </c>
      <c r="Y78" s="37">
        <f>U78*挂机玩法规划!$O$4*VLOOKUP(E78,挂机玩法规划!$G$2:$I$17,3,FALSE)</f>
        <v>720</v>
      </c>
      <c r="Z78" s="17">
        <f t="shared" si="187"/>
        <v>0.54400000000000004</v>
      </c>
      <c r="AA78" s="17">
        <f t="shared" si="188"/>
        <v>391.68</v>
      </c>
      <c r="AB78" s="17">
        <f>(VLOOKUP(V78,物品id!A:E,5,FALSE)*挂机玩法填表!Z78+VLOOKUP(挂机玩法填表!W78,物品id!A:E,5,FALSE)*挂机玩法填表!AA78)/(U78/60)</f>
        <v>36.948480000000004</v>
      </c>
      <c r="AD78" s="17" t="str">
        <f>IF(G78="","",VLOOKUP(G78,物品id!$A:$B,2,FALSE)&amp;",")</f>
        <v>3311,</v>
      </c>
      <c r="AE78" s="17" t="str">
        <f>IF(H78="","",VLOOKUP(H78,物品id!$A:$B,2,FALSE)&amp;",")</f>
        <v>3321,</v>
      </c>
      <c r="AF78" s="17" t="str">
        <f>IF(I78="","",VLOOKUP(I78,物品id!$A:$B,2,FALSE)&amp;",")</f>
        <v/>
      </c>
      <c r="AG78" s="37" t="str">
        <f t="shared" si="215"/>
        <v>3311,3321,</v>
      </c>
      <c r="AH78" s="37" t="str">
        <f t="shared" si="216"/>
        <v>[3311,3321]</v>
      </c>
      <c r="AI78" s="17" t="str">
        <f t="shared" si="181"/>
        <v>3,</v>
      </c>
      <c r="AJ78" s="17" t="str">
        <f t="shared" si="182"/>
        <v>3,</v>
      </c>
      <c r="AK78" s="17" t="str">
        <f t="shared" si="183"/>
        <v/>
      </c>
      <c r="AL78" s="37" t="str">
        <f t="shared" si="217"/>
        <v>3,3,</v>
      </c>
      <c r="AM78" s="37" t="str">
        <f t="shared" si="218"/>
        <v>[3,3]</v>
      </c>
      <c r="AN78" s="37" t="str">
        <f>VLOOKUP(T78,物品id!$A:$B,2,FALSE)&amp;","</f>
        <v>102,</v>
      </c>
      <c r="AO78" s="17" t="str">
        <f t="shared" si="193"/>
        <v>[102]</v>
      </c>
      <c r="AP78" s="37" t="str">
        <f t="shared" si="184"/>
        <v>120,</v>
      </c>
      <c r="AQ78" s="17" t="str">
        <f t="shared" si="194"/>
        <v>[120]</v>
      </c>
      <c r="AR78" s="37" t="str">
        <f>IF(V78="","",VLOOKUP(V78,物品id!$A:$B,2,FALSE)&amp;",")</f>
        <v>20033,</v>
      </c>
      <c r="AS78" s="37" t="str">
        <f>IF(W78="","",VLOOKUP(W78,物品id!$A:$B,2,FALSE)&amp;",")</f>
        <v>102,</v>
      </c>
      <c r="AT78" s="37" t="str">
        <f t="shared" si="219"/>
        <v>20033,102,</v>
      </c>
      <c r="AU78" s="37" t="str">
        <f t="shared" si="220"/>
        <v>[20033,102]</v>
      </c>
      <c r="AV78" s="37" t="str">
        <f t="shared" si="185"/>
        <v>1,</v>
      </c>
      <c r="AW78" s="37" t="str">
        <f t="shared" si="186"/>
        <v>720,</v>
      </c>
      <c r="AX78" s="37" t="str">
        <f t="shared" si="221"/>
        <v>1,720,</v>
      </c>
      <c r="AY78" s="37" t="str">
        <f t="shared" si="222"/>
        <v>[1,720]</v>
      </c>
    </row>
    <row r="79" spans="1:51" s="37" customFormat="1" x14ac:dyDescent="0.2">
      <c r="A79" s="37">
        <v>5</v>
      </c>
      <c r="B79" s="37" t="s">
        <v>1035</v>
      </c>
      <c r="C79" s="37">
        <v>30</v>
      </c>
      <c r="D79" s="34" t="s">
        <v>1168</v>
      </c>
      <c r="E79" s="37" t="s">
        <v>1031</v>
      </c>
      <c r="F79" s="37">
        <v>3</v>
      </c>
      <c r="G79" s="37" t="s">
        <v>804</v>
      </c>
      <c r="H79" s="37" t="s">
        <v>806</v>
      </c>
      <c r="I79" s="37" t="s">
        <v>807</v>
      </c>
      <c r="J79" s="17">
        <v>1</v>
      </c>
      <c r="K79" s="17">
        <v>1</v>
      </c>
      <c r="L79" s="17">
        <v>0</v>
      </c>
      <c r="M79" s="35">
        <f>(IF(G79="",挂机玩法规划!$L$2,VLOOKUP(G79,物品id!A:D,4,FALSE)*IF(J79=0,1,4))*IF(J79=0,1,J79)+IF(H79="",挂机玩法规划!$L$2,VLOOKUP(H79,物品id!A:D,4,FALSE)*IF(K79=0,1,4))*IF(K79=0,1,K79)+IF(I79="",挂机玩法规划!$L$2,VLOOKUP(I79,物品id!A:D,4,FALSE)*IF(L79=0,1,4))*IF(L79=0,1,L79))/O79</f>
        <v>0.71875</v>
      </c>
      <c r="N79" s="44">
        <f>IF(G79="",挂机玩法规划!$L$2,VLOOKUP(G79,物品id!A:D,4,FALSE)*4)+IF(H79="",挂机玩法规划!$L$2,VLOOKUP(H79,物品id!A:D,4,FALSE)*4)+IF(I79="",挂机玩法规划!$L$2,VLOOKUP(I79,物品id!A:D,4,FALSE)*4)</f>
        <v>320</v>
      </c>
      <c r="O79" s="46">
        <v>320</v>
      </c>
      <c r="P79" s="37">
        <v>3</v>
      </c>
      <c r="Q79" s="37">
        <v>3</v>
      </c>
      <c r="R79" s="37">
        <v>3</v>
      </c>
      <c r="S79" s="37">
        <v>240</v>
      </c>
      <c r="T79" s="37" t="s">
        <v>835</v>
      </c>
      <c r="U79" s="37">
        <v>240</v>
      </c>
      <c r="V79" s="37" t="s">
        <v>837</v>
      </c>
      <c r="W79" s="37" t="s">
        <v>200</v>
      </c>
      <c r="X79" s="37">
        <v>2</v>
      </c>
      <c r="Y79" s="37">
        <f>U79*挂机玩法规划!$O$4*VLOOKUP(E79,挂机玩法规划!$G$2:$I$17,3,FALSE)</f>
        <v>1440</v>
      </c>
      <c r="Z79" s="17">
        <f t="shared" si="187"/>
        <v>1.4375</v>
      </c>
      <c r="AA79" s="17">
        <f t="shared" si="188"/>
        <v>1035</v>
      </c>
      <c r="AB79" s="17">
        <f>(VLOOKUP(V79,物品id!A:E,5,FALSE)*挂机玩法填表!Z79+VLOOKUP(挂机玩法填表!W79,物品id!A:E,5,FALSE)*挂机玩法填表!AA79)/(U79/60)</f>
        <v>48.817500000000003</v>
      </c>
      <c r="AD79" s="17" t="str">
        <f>IF(G79="","",VLOOKUP(G79,物品id!$A:$B,2,FALSE)&amp;",")</f>
        <v>1211,</v>
      </c>
      <c r="AE79" s="17" t="str">
        <f>IF(H79="","",VLOOKUP(H79,物品id!$A:$B,2,FALSE)&amp;",")</f>
        <v>1311,</v>
      </c>
      <c r="AF79" s="17" t="str">
        <f>IF(I79="","",VLOOKUP(I79,物品id!$A:$B,2,FALSE)&amp;",")</f>
        <v>1321,</v>
      </c>
      <c r="AG79" s="37" t="str">
        <f t="shared" si="42"/>
        <v>1211,1311,1321,</v>
      </c>
      <c r="AH79" s="37" t="str">
        <f t="shared" si="43"/>
        <v>[1211,1311,1321]</v>
      </c>
      <c r="AI79" s="17" t="str">
        <f t="shared" si="181"/>
        <v>3,</v>
      </c>
      <c r="AJ79" s="17" t="str">
        <f t="shared" si="182"/>
        <v>3,</v>
      </c>
      <c r="AK79" s="17" t="str">
        <f t="shared" si="183"/>
        <v>3,</v>
      </c>
      <c r="AL79" s="37" t="str">
        <f t="shared" si="44"/>
        <v>3,3,3,</v>
      </c>
      <c r="AM79" s="37" t="str">
        <f t="shared" si="45"/>
        <v>[3,3,3]</v>
      </c>
      <c r="AN79" s="37" t="str">
        <f>VLOOKUP(T79,物品id!$A:$B,2,FALSE)&amp;","</f>
        <v>102,</v>
      </c>
      <c r="AO79" s="17" t="str">
        <f t="shared" si="193"/>
        <v>[102]</v>
      </c>
      <c r="AP79" s="37" t="str">
        <f t="shared" si="184"/>
        <v>240,</v>
      </c>
      <c r="AQ79" s="17" t="str">
        <f t="shared" si="194"/>
        <v>[240]</v>
      </c>
      <c r="AR79" s="37" t="str">
        <f>IF(V79="","",VLOOKUP(V79,物品id!$A:$B,2,FALSE)&amp;",")</f>
        <v>20033,</v>
      </c>
      <c r="AS79" s="37" t="str">
        <f>IF(W79="","",VLOOKUP(W79,物品id!$A:$B,2,FALSE)&amp;",")</f>
        <v>102,</v>
      </c>
      <c r="AT79" s="37" t="str">
        <f t="shared" si="46"/>
        <v>20033,102,</v>
      </c>
      <c r="AU79" s="37" t="str">
        <f t="shared" si="47"/>
        <v>[20033,102]</v>
      </c>
      <c r="AV79" s="37" t="str">
        <f t="shared" si="185"/>
        <v>2,</v>
      </c>
      <c r="AW79" s="37" t="str">
        <f t="shared" si="186"/>
        <v>1440,</v>
      </c>
      <c r="AX79" s="37" t="str">
        <f t="shared" si="48"/>
        <v>2,1440,</v>
      </c>
      <c r="AY79" s="37" t="str">
        <f t="shared" si="49"/>
        <v>[2,1440]</v>
      </c>
    </row>
    <row r="80" spans="1:51" s="37" customFormat="1" x14ac:dyDescent="0.2">
      <c r="A80" s="37">
        <v>5</v>
      </c>
      <c r="B80" s="37" t="s">
        <v>1035</v>
      </c>
      <c r="C80" s="37">
        <v>30</v>
      </c>
      <c r="D80" s="34" t="s">
        <v>1168</v>
      </c>
      <c r="E80" s="37" t="s">
        <v>1017</v>
      </c>
      <c r="F80" s="37">
        <v>3</v>
      </c>
      <c r="G80" s="37" t="s">
        <v>815</v>
      </c>
      <c r="H80" s="37" t="s">
        <v>817</v>
      </c>
      <c r="I80" s="37" t="s">
        <v>818</v>
      </c>
      <c r="J80" s="17">
        <v>1</v>
      </c>
      <c r="K80" s="17">
        <v>1</v>
      </c>
      <c r="L80" s="17">
        <v>0</v>
      </c>
      <c r="M80" s="35">
        <f>(IF(G80="",挂机玩法规划!$L$2,VLOOKUP(G80,物品id!A:D,4,FALSE)*IF(J80=0,1,4))*IF(J80=0,1,J80)+IF(H80="",挂机玩法规划!$L$2,VLOOKUP(H80,物品id!A:D,4,FALSE)*IF(K80=0,1,4))*IF(K80=0,1,K80)+IF(I80="",挂机玩法规划!$L$2,VLOOKUP(I80,物品id!A:D,4,FALSE)*IF(L80=0,1,4))*IF(L80=0,1,L80))/O80</f>
        <v>0.71875</v>
      </c>
      <c r="N80" s="44">
        <f>IF(G80="",挂机玩法规划!$L$2,VLOOKUP(G80,物品id!A:D,4,FALSE)*4)+IF(H80="",挂机玩法规划!$L$2,VLOOKUP(H80,物品id!A:D,4,FALSE)*4)+IF(I80="",挂机玩法规划!$L$2,VLOOKUP(I80,物品id!A:D,4,FALSE)*4)</f>
        <v>320</v>
      </c>
      <c r="O80" s="46">
        <v>320</v>
      </c>
      <c r="P80" s="37">
        <v>3</v>
      </c>
      <c r="Q80" s="37">
        <v>3</v>
      </c>
      <c r="R80" s="37">
        <v>3</v>
      </c>
      <c r="S80" s="37">
        <v>240</v>
      </c>
      <c r="T80" s="37" t="s">
        <v>835</v>
      </c>
      <c r="U80" s="37">
        <v>240</v>
      </c>
      <c r="V80" s="37" t="s">
        <v>837</v>
      </c>
      <c r="W80" s="37" t="s">
        <v>200</v>
      </c>
      <c r="X80" s="37">
        <v>2</v>
      </c>
      <c r="Y80" s="37">
        <f>U80*挂机玩法规划!$O$4*VLOOKUP(E80,挂机玩法规划!$G$2:$I$17,3,FALSE)</f>
        <v>1440</v>
      </c>
      <c r="Z80" s="17">
        <f t="shared" si="187"/>
        <v>1.4375</v>
      </c>
      <c r="AA80" s="17">
        <f t="shared" si="188"/>
        <v>1035</v>
      </c>
      <c r="AB80" s="17">
        <f>(VLOOKUP(V80,物品id!A:E,5,FALSE)*挂机玩法填表!Z80+VLOOKUP(挂机玩法填表!W80,物品id!A:E,5,FALSE)*挂机玩法填表!AA80)/(U80/60)</f>
        <v>48.817500000000003</v>
      </c>
      <c r="AD80" s="17" t="str">
        <f>IF(G80="","",VLOOKUP(G80,物品id!$A:$B,2,FALSE)&amp;",")</f>
        <v>2211,</v>
      </c>
      <c r="AE80" s="17" t="str">
        <f>IF(H80="","",VLOOKUP(H80,物品id!$A:$B,2,FALSE)&amp;",")</f>
        <v>2311,</v>
      </c>
      <c r="AF80" s="17" t="str">
        <f>IF(I80="","",VLOOKUP(I80,物品id!$A:$B,2,FALSE)&amp;",")</f>
        <v>2321,</v>
      </c>
      <c r="AG80" s="37" t="str">
        <f t="shared" ref="AG80:AG81" si="223">AD80&amp;AE80&amp;AF80</f>
        <v>2211,2311,2321,</v>
      </c>
      <c r="AH80" s="37" t="str">
        <f t="shared" ref="AH80:AH81" si="224">"["&amp;LEFT(AG80,LEN(AG80)-1)&amp;"]"</f>
        <v>[2211,2311,2321]</v>
      </c>
      <c r="AI80" s="17" t="str">
        <f t="shared" si="181"/>
        <v>3,</v>
      </c>
      <c r="AJ80" s="17" t="str">
        <f t="shared" si="182"/>
        <v>3,</v>
      </c>
      <c r="AK80" s="17" t="str">
        <f t="shared" si="183"/>
        <v>3,</v>
      </c>
      <c r="AL80" s="37" t="str">
        <f t="shared" ref="AL80:AL81" si="225">AI80&amp;AJ80&amp;AK80</f>
        <v>3,3,3,</v>
      </c>
      <c r="AM80" s="37" t="str">
        <f t="shared" ref="AM80:AM81" si="226">"["&amp;LEFT(AL80,LEN(AL80)-1)&amp;"]"</f>
        <v>[3,3,3]</v>
      </c>
      <c r="AN80" s="37" t="str">
        <f>VLOOKUP(T80,物品id!$A:$B,2,FALSE)&amp;","</f>
        <v>102,</v>
      </c>
      <c r="AO80" s="17" t="str">
        <f t="shared" si="193"/>
        <v>[102]</v>
      </c>
      <c r="AP80" s="37" t="str">
        <f t="shared" si="184"/>
        <v>240,</v>
      </c>
      <c r="AQ80" s="17" t="str">
        <f t="shared" si="194"/>
        <v>[240]</v>
      </c>
      <c r="AR80" s="37" t="str">
        <f>IF(V80="","",VLOOKUP(V80,物品id!$A:$B,2,FALSE)&amp;",")</f>
        <v>20033,</v>
      </c>
      <c r="AS80" s="37" t="str">
        <f>IF(W80="","",VLOOKUP(W80,物品id!$A:$B,2,FALSE)&amp;",")</f>
        <v>102,</v>
      </c>
      <c r="AT80" s="37" t="str">
        <f t="shared" ref="AT80:AT81" si="227">AR80&amp;AS80</f>
        <v>20033,102,</v>
      </c>
      <c r="AU80" s="37" t="str">
        <f t="shared" ref="AU80:AU81" si="228">"["&amp;LEFT(AT80,LEN(AT80)-1)&amp;"]"</f>
        <v>[20033,102]</v>
      </c>
      <c r="AV80" s="37" t="str">
        <f t="shared" si="185"/>
        <v>2,</v>
      </c>
      <c r="AW80" s="37" t="str">
        <f t="shared" si="186"/>
        <v>1440,</v>
      </c>
      <c r="AX80" s="37" t="str">
        <f t="shared" ref="AX80:AX81" si="229">AV80&amp;AW80</f>
        <v>2,1440,</v>
      </c>
      <c r="AY80" s="37" t="str">
        <f t="shared" ref="AY80:AY81" si="230">"["&amp;LEFT(AX80,LEN(AX80)-1)&amp;"]"</f>
        <v>[2,1440]</v>
      </c>
    </row>
    <row r="81" spans="1:51" s="37" customFormat="1" x14ac:dyDescent="0.2">
      <c r="A81" s="37">
        <v>5</v>
      </c>
      <c r="B81" s="37" t="s">
        <v>1035</v>
      </c>
      <c r="C81" s="37">
        <v>30</v>
      </c>
      <c r="D81" s="34" t="s">
        <v>1168</v>
      </c>
      <c r="E81" s="37" t="s">
        <v>1017</v>
      </c>
      <c r="F81" s="37">
        <v>3</v>
      </c>
      <c r="G81" s="37" t="s">
        <v>825</v>
      </c>
      <c r="H81" s="37" t="s">
        <v>827</v>
      </c>
      <c r="I81" s="37" t="s">
        <v>828</v>
      </c>
      <c r="J81" s="17">
        <v>1</v>
      </c>
      <c r="K81" s="17">
        <v>1</v>
      </c>
      <c r="L81" s="17">
        <v>0</v>
      </c>
      <c r="M81" s="35">
        <f>(IF(G81="",挂机玩法规划!$L$2,VLOOKUP(G81,物品id!A:D,4,FALSE)*IF(J81=0,1,4))*IF(J81=0,1,J81)+IF(H81="",挂机玩法规划!$L$2,VLOOKUP(H81,物品id!A:D,4,FALSE)*IF(K81=0,1,4))*IF(K81=0,1,K81)+IF(I81="",挂机玩法规划!$L$2,VLOOKUP(I81,物品id!A:D,4,FALSE)*IF(L81=0,1,4))*IF(L81=0,1,L81))/O81</f>
        <v>0.71875</v>
      </c>
      <c r="N81" s="44">
        <f>IF(G81="",挂机玩法规划!$L$2,VLOOKUP(G81,物品id!A:D,4,FALSE)*4)+IF(H81="",挂机玩法规划!$L$2,VLOOKUP(H81,物品id!A:D,4,FALSE)*4)+IF(I81="",挂机玩法规划!$L$2,VLOOKUP(I81,物品id!A:D,4,FALSE)*4)</f>
        <v>320</v>
      </c>
      <c r="O81" s="46">
        <v>320</v>
      </c>
      <c r="P81" s="37">
        <v>3</v>
      </c>
      <c r="Q81" s="37">
        <v>3</v>
      </c>
      <c r="R81" s="37">
        <v>3</v>
      </c>
      <c r="S81" s="37">
        <v>240</v>
      </c>
      <c r="T81" s="37" t="s">
        <v>835</v>
      </c>
      <c r="U81" s="37">
        <v>240</v>
      </c>
      <c r="V81" s="37" t="s">
        <v>837</v>
      </c>
      <c r="W81" s="37" t="s">
        <v>200</v>
      </c>
      <c r="X81" s="37">
        <v>2</v>
      </c>
      <c r="Y81" s="37">
        <f>U81*挂机玩法规划!$O$4*VLOOKUP(E81,挂机玩法规划!$G$2:$I$17,3,FALSE)</f>
        <v>1440</v>
      </c>
      <c r="Z81" s="17">
        <f t="shared" si="187"/>
        <v>1.4375</v>
      </c>
      <c r="AA81" s="17">
        <f t="shared" si="188"/>
        <v>1035</v>
      </c>
      <c r="AB81" s="17">
        <f>(VLOOKUP(V81,物品id!A:E,5,FALSE)*挂机玩法填表!Z81+VLOOKUP(挂机玩法填表!W81,物品id!A:E,5,FALSE)*挂机玩法填表!AA81)/(U81/60)</f>
        <v>48.817500000000003</v>
      </c>
      <c r="AD81" s="17" t="str">
        <f>IF(G81="","",VLOOKUP(G81,物品id!$A:$B,2,FALSE)&amp;",")</f>
        <v>3211,</v>
      </c>
      <c r="AE81" s="17" t="str">
        <f>IF(H81="","",VLOOKUP(H81,物品id!$A:$B,2,FALSE)&amp;",")</f>
        <v>3311,</v>
      </c>
      <c r="AF81" s="17" t="str">
        <f>IF(I81="","",VLOOKUP(I81,物品id!$A:$B,2,FALSE)&amp;",")</f>
        <v>3321,</v>
      </c>
      <c r="AG81" s="37" t="str">
        <f t="shared" si="223"/>
        <v>3211,3311,3321,</v>
      </c>
      <c r="AH81" s="37" t="str">
        <f t="shared" si="224"/>
        <v>[3211,3311,3321]</v>
      </c>
      <c r="AI81" s="17" t="str">
        <f t="shared" si="181"/>
        <v>3,</v>
      </c>
      <c r="AJ81" s="17" t="str">
        <f t="shared" si="182"/>
        <v>3,</v>
      </c>
      <c r="AK81" s="17" t="str">
        <f t="shared" si="183"/>
        <v>3,</v>
      </c>
      <c r="AL81" s="37" t="str">
        <f t="shared" si="225"/>
        <v>3,3,3,</v>
      </c>
      <c r="AM81" s="37" t="str">
        <f t="shared" si="226"/>
        <v>[3,3,3]</v>
      </c>
      <c r="AN81" s="37" t="str">
        <f>VLOOKUP(T81,物品id!$A:$B,2,FALSE)&amp;","</f>
        <v>102,</v>
      </c>
      <c r="AO81" s="17" t="str">
        <f t="shared" si="193"/>
        <v>[102]</v>
      </c>
      <c r="AP81" s="37" t="str">
        <f t="shared" si="184"/>
        <v>240,</v>
      </c>
      <c r="AQ81" s="17" t="str">
        <f t="shared" si="194"/>
        <v>[240]</v>
      </c>
      <c r="AR81" s="37" t="str">
        <f>IF(V81="","",VLOOKUP(V81,物品id!$A:$B,2,FALSE)&amp;",")</f>
        <v>20033,</v>
      </c>
      <c r="AS81" s="37" t="str">
        <f>IF(W81="","",VLOOKUP(W81,物品id!$A:$B,2,FALSE)&amp;",")</f>
        <v>102,</v>
      </c>
      <c r="AT81" s="37" t="str">
        <f t="shared" si="227"/>
        <v>20033,102,</v>
      </c>
      <c r="AU81" s="37" t="str">
        <f t="shared" si="228"/>
        <v>[20033,102]</v>
      </c>
      <c r="AV81" s="37" t="str">
        <f t="shared" si="185"/>
        <v>2,</v>
      </c>
      <c r="AW81" s="37" t="str">
        <f t="shared" si="186"/>
        <v>1440,</v>
      </c>
      <c r="AX81" s="37" t="str">
        <f t="shared" si="229"/>
        <v>2,1440,</v>
      </c>
      <c r="AY81" s="37" t="str">
        <f t="shared" si="230"/>
        <v>[2,1440]</v>
      </c>
    </row>
    <row r="82" spans="1:51" s="37" customFormat="1" x14ac:dyDescent="0.2">
      <c r="A82" s="37">
        <v>5</v>
      </c>
      <c r="B82" s="37" t="s">
        <v>1035</v>
      </c>
      <c r="C82" s="37">
        <v>31</v>
      </c>
      <c r="D82" s="34" t="s">
        <v>1169</v>
      </c>
      <c r="E82" s="37" t="s">
        <v>1031</v>
      </c>
      <c r="F82" s="37">
        <v>3</v>
      </c>
      <c r="G82" s="37" t="s">
        <v>804</v>
      </c>
      <c r="H82" s="37" t="s">
        <v>806</v>
      </c>
      <c r="I82" s="37" t="s">
        <v>807</v>
      </c>
      <c r="J82" s="17">
        <v>1</v>
      </c>
      <c r="K82" s="17">
        <v>1</v>
      </c>
      <c r="L82" s="17">
        <v>0</v>
      </c>
      <c r="M82" s="35">
        <f>(IF(G82="",挂机玩法规划!$L$2,VLOOKUP(G82,物品id!A:D,4,FALSE)*IF(J82=0,1,4))*IF(J82=0,1,J82)+IF(H82="",挂机玩法规划!$L$2,VLOOKUP(H82,物品id!A:D,4,FALSE)*IF(K82=0,1,4))*IF(K82=0,1,K82)+IF(I82="",挂机玩法规划!$L$2,VLOOKUP(I82,物品id!A:D,4,FALSE)*IF(L82=0,1,4))*IF(L82=0,1,L82))/O82</f>
        <v>0.71875</v>
      </c>
      <c r="N82" s="44">
        <f>IF(G82="",挂机玩法规划!$L$2,VLOOKUP(G82,物品id!A:D,4,FALSE)*4)+IF(H82="",挂机玩法规划!$L$2,VLOOKUP(H82,物品id!A:D,4,FALSE)*4)+IF(I82="",挂机玩法规划!$L$2,VLOOKUP(I82,物品id!A:D,4,FALSE)*4)</f>
        <v>320</v>
      </c>
      <c r="O82" s="46">
        <v>320</v>
      </c>
      <c r="P82" s="37">
        <v>3</v>
      </c>
      <c r="Q82" s="37">
        <v>3</v>
      </c>
      <c r="R82" s="37">
        <v>3</v>
      </c>
      <c r="S82" s="37">
        <v>480</v>
      </c>
      <c r="T82" s="37" t="s">
        <v>835</v>
      </c>
      <c r="U82" s="37">
        <v>480</v>
      </c>
      <c r="V82" s="37" t="s">
        <v>1047</v>
      </c>
      <c r="W82" s="37" t="s">
        <v>200</v>
      </c>
      <c r="X82" s="37">
        <v>3</v>
      </c>
      <c r="Y82" s="37">
        <f>U82*挂机玩法规划!$O$4*VLOOKUP(E82,挂机玩法规划!$G$2:$I$17,3,FALSE)</f>
        <v>2880</v>
      </c>
      <c r="Z82" s="17">
        <f t="shared" si="187"/>
        <v>2.15625</v>
      </c>
      <c r="AA82" s="17">
        <f t="shared" si="188"/>
        <v>2070</v>
      </c>
      <c r="AB82" s="17">
        <f>(VLOOKUP(V82,物品id!A:E,5,FALSE)*挂机玩法填表!Z82+VLOOKUP(挂机玩法填表!W82,物品id!A:E,5,FALSE)*挂机玩法填表!AA82)/(U82/60)</f>
        <v>38.036250000000003</v>
      </c>
      <c r="AD82" s="17" t="str">
        <f>IF(G82="","",VLOOKUP(G82,物品id!$A:$B,2,FALSE)&amp;",")</f>
        <v>1211,</v>
      </c>
      <c r="AE82" s="17" t="str">
        <f>IF(H82="","",VLOOKUP(H82,物品id!$A:$B,2,FALSE)&amp;",")</f>
        <v>1311,</v>
      </c>
      <c r="AF82" s="17" t="str">
        <f>IF(I82="","",VLOOKUP(I82,物品id!$A:$B,2,FALSE)&amp;",")</f>
        <v>1321,</v>
      </c>
      <c r="AG82" s="37" t="str">
        <f t="shared" si="42"/>
        <v>1211,1311,1321,</v>
      </c>
      <c r="AH82" s="37" t="str">
        <f t="shared" si="43"/>
        <v>[1211,1311,1321]</v>
      </c>
      <c r="AI82" s="17" t="str">
        <f t="shared" si="181"/>
        <v>3,</v>
      </c>
      <c r="AJ82" s="17" t="str">
        <f t="shared" si="182"/>
        <v>3,</v>
      </c>
      <c r="AK82" s="17" t="str">
        <f t="shared" si="183"/>
        <v>3,</v>
      </c>
      <c r="AL82" s="37" t="str">
        <f t="shared" si="44"/>
        <v>3,3,3,</v>
      </c>
      <c r="AM82" s="37" t="str">
        <f t="shared" si="45"/>
        <v>[3,3,3]</v>
      </c>
      <c r="AN82" s="37" t="str">
        <f>VLOOKUP(T82,物品id!$A:$B,2,FALSE)&amp;","</f>
        <v>102,</v>
      </c>
      <c r="AO82" s="17" t="str">
        <f t="shared" si="193"/>
        <v>[102]</v>
      </c>
      <c r="AP82" s="37" t="str">
        <f t="shared" si="184"/>
        <v>480,</v>
      </c>
      <c r="AQ82" s="17" t="str">
        <f t="shared" si="194"/>
        <v>[480]</v>
      </c>
      <c r="AR82" s="37" t="str">
        <f>IF(V82="","",VLOOKUP(V82,物品id!$A:$B,2,FALSE)&amp;",")</f>
        <v>20033,</v>
      </c>
      <c r="AS82" s="37" t="str">
        <f>IF(W82="","",VLOOKUP(W82,物品id!$A:$B,2,FALSE)&amp;",")</f>
        <v>102,</v>
      </c>
      <c r="AT82" s="37" t="str">
        <f t="shared" si="46"/>
        <v>20033,102,</v>
      </c>
      <c r="AU82" s="37" t="str">
        <f t="shared" si="47"/>
        <v>[20033,102]</v>
      </c>
      <c r="AV82" s="37" t="str">
        <f t="shared" si="185"/>
        <v>3,</v>
      </c>
      <c r="AW82" s="37" t="str">
        <f t="shared" si="186"/>
        <v>2880,</v>
      </c>
      <c r="AX82" s="37" t="str">
        <f t="shared" si="48"/>
        <v>3,2880,</v>
      </c>
      <c r="AY82" s="37" t="str">
        <f t="shared" si="49"/>
        <v>[3,2880]</v>
      </c>
    </row>
    <row r="83" spans="1:51" s="37" customFormat="1" x14ac:dyDescent="0.2">
      <c r="A83" s="37">
        <v>5</v>
      </c>
      <c r="B83" s="37" t="s">
        <v>1035</v>
      </c>
      <c r="C83" s="37">
        <v>31</v>
      </c>
      <c r="D83" s="34" t="s">
        <v>1169</v>
      </c>
      <c r="E83" s="37" t="s">
        <v>1017</v>
      </c>
      <c r="F83" s="37">
        <v>3</v>
      </c>
      <c r="G83" s="37" t="s">
        <v>815</v>
      </c>
      <c r="H83" s="37" t="s">
        <v>817</v>
      </c>
      <c r="I83" s="37" t="s">
        <v>818</v>
      </c>
      <c r="J83" s="17">
        <v>1</v>
      </c>
      <c r="K83" s="17">
        <v>1</v>
      </c>
      <c r="L83" s="17">
        <v>0</v>
      </c>
      <c r="M83" s="35">
        <f>(IF(G83="",挂机玩法规划!$L$2,VLOOKUP(G83,物品id!A:D,4,FALSE)*IF(J83=0,1,4))*IF(J83=0,1,J83)+IF(H83="",挂机玩法规划!$L$2,VLOOKUP(H83,物品id!A:D,4,FALSE)*IF(K83=0,1,4))*IF(K83=0,1,K83)+IF(I83="",挂机玩法规划!$L$2,VLOOKUP(I83,物品id!A:D,4,FALSE)*IF(L83=0,1,4))*IF(L83=0,1,L83))/O83</f>
        <v>0.71875</v>
      </c>
      <c r="N83" s="44">
        <f>IF(G83="",挂机玩法规划!$L$2,VLOOKUP(G83,物品id!A:D,4,FALSE)*4)+IF(H83="",挂机玩法规划!$L$2,VLOOKUP(H83,物品id!A:D,4,FALSE)*4)+IF(I83="",挂机玩法规划!$L$2,VLOOKUP(I83,物品id!A:D,4,FALSE)*4)</f>
        <v>320</v>
      </c>
      <c r="O83" s="46">
        <v>320</v>
      </c>
      <c r="P83" s="37">
        <v>3</v>
      </c>
      <c r="Q83" s="37">
        <v>3</v>
      </c>
      <c r="R83" s="37">
        <v>3</v>
      </c>
      <c r="S83" s="37">
        <v>480</v>
      </c>
      <c r="T83" s="37" t="s">
        <v>835</v>
      </c>
      <c r="U83" s="37">
        <v>480</v>
      </c>
      <c r="V83" s="37" t="s">
        <v>1047</v>
      </c>
      <c r="W83" s="37" t="s">
        <v>200</v>
      </c>
      <c r="X83" s="37">
        <v>3</v>
      </c>
      <c r="Y83" s="37">
        <f>U83*挂机玩法规划!$O$4*VLOOKUP(E83,挂机玩法规划!$G$2:$I$17,3,FALSE)</f>
        <v>2880</v>
      </c>
      <c r="Z83" s="17">
        <f t="shared" si="187"/>
        <v>2.15625</v>
      </c>
      <c r="AA83" s="17">
        <f t="shared" si="188"/>
        <v>2070</v>
      </c>
      <c r="AB83" s="17">
        <f>(VLOOKUP(V83,物品id!A:E,5,FALSE)*挂机玩法填表!Z83+VLOOKUP(挂机玩法填表!W83,物品id!A:E,5,FALSE)*挂机玩法填表!AA83)/(U83/60)</f>
        <v>38.036250000000003</v>
      </c>
      <c r="AD83" s="17" t="str">
        <f>IF(G83="","",VLOOKUP(G83,物品id!$A:$B,2,FALSE)&amp;",")</f>
        <v>2211,</v>
      </c>
      <c r="AE83" s="17" t="str">
        <f>IF(H83="","",VLOOKUP(H83,物品id!$A:$B,2,FALSE)&amp;",")</f>
        <v>2311,</v>
      </c>
      <c r="AF83" s="17" t="str">
        <f>IF(I83="","",VLOOKUP(I83,物品id!$A:$B,2,FALSE)&amp;",")</f>
        <v>2321,</v>
      </c>
      <c r="AG83" s="37" t="str">
        <f t="shared" ref="AG83:AG84" si="231">AD83&amp;AE83&amp;AF83</f>
        <v>2211,2311,2321,</v>
      </c>
      <c r="AH83" s="37" t="str">
        <f t="shared" ref="AH83:AH84" si="232">"["&amp;LEFT(AG83,LEN(AG83)-1)&amp;"]"</f>
        <v>[2211,2311,2321]</v>
      </c>
      <c r="AI83" s="17" t="str">
        <f t="shared" si="181"/>
        <v>3,</v>
      </c>
      <c r="AJ83" s="17" t="str">
        <f t="shared" si="182"/>
        <v>3,</v>
      </c>
      <c r="AK83" s="17" t="str">
        <f t="shared" si="183"/>
        <v>3,</v>
      </c>
      <c r="AL83" s="37" t="str">
        <f t="shared" ref="AL83:AL84" si="233">AI83&amp;AJ83&amp;AK83</f>
        <v>3,3,3,</v>
      </c>
      <c r="AM83" s="37" t="str">
        <f t="shared" ref="AM83:AM84" si="234">"["&amp;LEFT(AL83,LEN(AL83)-1)&amp;"]"</f>
        <v>[3,3,3]</v>
      </c>
      <c r="AN83" s="37" t="str">
        <f>VLOOKUP(T83,物品id!$A:$B,2,FALSE)&amp;","</f>
        <v>102,</v>
      </c>
      <c r="AO83" s="17" t="str">
        <f t="shared" si="193"/>
        <v>[102]</v>
      </c>
      <c r="AP83" s="37" t="str">
        <f t="shared" si="184"/>
        <v>480,</v>
      </c>
      <c r="AQ83" s="17" t="str">
        <f t="shared" si="194"/>
        <v>[480]</v>
      </c>
      <c r="AR83" s="37" t="str">
        <f>IF(V83="","",VLOOKUP(V83,物品id!$A:$B,2,FALSE)&amp;",")</f>
        <v>20033,</v>
      </c>
      <c r="AS83" s="37" t="str">
        <f>IF(W83="","",VLOOKUP(W83,物品id!$A:$B,2,FALSE)&amp;",")</f>
        <v>102,</v>
      </c>
      <c r="AT83" s="37" t="str">
        <f t="shared" ref="AT83:AT84" si="235">AR83&amp;AS83</f>
        <v>20033,102,</v>
      </c>
      <c r="AU83" s="37" t="str">
        <f t="shared" ref="AU83:AU84" si="236">"["&amp;LEFT(AT83,LEN(AT83)-1)&amp;"]"</f>
        <v>[20033,102]</v>
      </c>
      <c r="AV83" s="37" t="str">
        <f t="shared" si="185"/>
        <v>3,</v>
      </c>
      <c r="AW83" s="37" t="str">
        <f t="shared" si="186"/>
        <v>2880,</v>
      </c>
      <c r="AX83" s="37" t="str">
        <f t="shared" ref="AX83:AX84" si="237">AV83&amp;AW83</f>
        <v>3,2880,</v>
      </c>
      <c r="AY83" s="37" t="str">
        <f t="shared" ref="AY83:AY84" si="238">"["&amp;LEFT(AX83,LEN(AX83)-1)&amp;"]"</f>
        <v>[3,2880]</v>
      </c>
    </row>
    <row r="84" spans="1:51" s="37" customFormat="1" x14ac:dyDescent="0.2">
      <c r="A84" s="37">
        <v>5</v>
      </c>
      <c r="B84" s="37" t="s">
        <v>1035</v>
      </c>
      <c r="C84" s="37">
        <v>31</v>
      </c>
      <c r="D84" s="34" t="s">
        <v>1169</v>
      </c>
      <c r="E84" s="37" t="s">
        <v>1017</v>
      </c>
      <c r="F84" s="37">
        <v>3</v>
      </c>
      <c r="G84" s="37" t="s">
        <v>825</v>
      </c>
      <c r="H84" s="37" t="s">
        <v>827</v>
      </c>
      <c r="I84" s="37" t="s">
        <v>828</v>
      </c>
      <c r="J84" s="17">
        <v>1</v>
      </c>
      <c r="K84" s="17">
        <v>1</v>
      </c>
      <c r="L84" s="17">
        <v>0</v>
      </c>
      <c r="M84" s="35">
        <f>(IF(G84="",挂机玩法规划!$L$2,VLOOKUP(G84,物品id!A:D,4,FALSE)*IF(J84=0,1,4))*IF(J84=0,1,J84)+IF(H84="",挂机玩法规划!$L$2,VLOOKUP(H84,物品id!A:D,4,FALSE)*IF(K84=0,1,4))*IF(K84=0,1,K84)+IF(I84="",挂机玩法规划!$L$2,VLOOKUP(I84,物品id!A:D,4,FALSE)*IF(L84=0,1,4))*IF(L84=0,1,L84))/O84</f>
        <v>0.71875</v>
      </c>
      <c r="N84" s="44">
        <f>IF(G84="",挂机玩法规划!$L$2,VLOOKUP(G84,物品id!A:D,4,FALSE)*4)+IF(H84="",挂机玩法规划!$L$2,VLOOKUP(H84,物品id!A:D,4,FALSE)*4)+IF(I84="",挂机玩法规划!$L$2,VLOOKUP(I84,物品id!A:D,4,FALSE)*4)</f>
        <v>320</v>
      </c>
      <c r="O84" s="46">
        <v>320</v>
      </c>
      <c r="P84" s="37">
        <v>3</v>
      </c>
      <c r="Q84" s="37">
        <v>3</v>
      </c>
      <c r="R84" s="37">
        <v>3</v>
      </c>
      <c r="S84" s="37">
        <v>480</v>
      </c>
      <c r="T84" s="37" t="s">
        <v>835</v>
      </c>
      <c r="U84" s="37">
        <v>480</v>
      </c>
      <c r="V84" s="37" t="s">
        <v>1047</v>
      </c>
      <c r="W84" s="37" t="s">
        <v>200</v>
      </c>
      <c r="X84" s="37">
        <v>3</v>
      </c>
      <c r="Y84" s="37">
        <f>U84*挂机玩法规划!$O$4*VLOOKUP(E84,挂机玩法规划!$G$2:$I$17,3,FALSE)</f>
        <v>2880</v>
      </c>
      <c r="Z84" s="17">
        <f t="shared" si="187"/>
        <v>2.15625</v>
      </c>
      <c r="AA84" s="17">
        <f t="shared" si="188"/>
        <v>2070</v>
      </c>
      <c r="AB84" s="17">
        <f>(VLOOKUP(V84,物品id!A:E,5,FALSE)*挂机玩法填表!Z84+VLOOKUP(挂机玩法填表!W84,物品id!A:E,5,FALSE)*挂机玩法填表!AA84)/(U84/60)</f>
        <v>38.036250000000003</v>
      </c>
      <c r="AD84" s="17" t="str">
        <f>IF(G84="","",VLOOKUP(G84,物品id!$A:$B,2,FALSE)&amp;",")</f>
        <v>3211,</v>
      </c>
      <c r="AE84" s="17" t="str">
        <f>IF(H84="","",VLOOKUP(H84,物品id!$A:$B,2,FALSE)&amp;",")</f>
        <v>3311,</v>
      </c>
      <c r="AF84" s="17" t="str">
        <f>IF(I84="","",VLOOKUP(I84,物品id!$A:$B,2,FALSE)&amp;",")</f>
        <v>3321,</v>
      </c>
      <c r="AG84" s="37" t="str">
        <f t="shared" si="231"/>
        <v>3211,3311,3321,</v>
      </c>
      <c r="AH84" s="37" t="str">
        <f t="shared" si="232"/>
        <v>[3211,3311,3321]</v>
      </c>
      <c r="AI84" s="17" t="str">
        <f t="shared" si="181"/>
        <v>3,</v>
      </c>
      <c r="AJ84" s="17" t="str">
        <f t="shared" si="182"/>
        <v>3,</v>
      </c>
      <c r="AK84" s="17" t="str">
        <f t="shared" si="183"/>
        <v>3,</v>
      </c>
      <c r="AL84" s="37" t="str">
        <f t="shared" si="233"/>
        <v>3,3,3,</v>
      </c>
      <c r="AM84" s="37" t="str">
        <f t="shared" si="234"/>
        <v>[3,3,3]</v>
      </c>
      <c r="AN84" s="37" t="str">
        <f>VLOOKUP(T84,物品id!$A:$B,2,FALSE)&amp;","</f>
        <v>102,</v>
      </c>
      <c r="AO84" s="17" t="str">
        <f t="shared" si="193"/>
        <v>[102]</v>
      </c>
      <c r="AP84" s="37" t="str">
        <f t="shared" si="184"/>
        <v>480,</v>
      </c>
      <c r="AQ84" s="17" t="str">
        <f t="shared" si="194"/>
        <v>[480]</v>
      </c>
      <c r="AR84" s="37" t="str">
        <f>IF(V84="","",VLOOKUP(V84,物品id!$A:$B,2,FALSE)&amp;",")</f>
        <v>20033,</v>
      </c>
      <c r="AS84" s="37" t="str">
        <f>IF(W84="","",VLOOKUP(W84,物品id!$A:$B,2,FALSE)&amp;",")</f>
        <v>102,</v>
      </c>
      <c r="AT84" s="37" t="str">
        <f t="shared" si="235"/>
        <v>20033,102,</v>
      </c>
      <c r="AU84" s="37" t="str">
        <f t="shared" si="236"/>
        <v>[20033,102]</v>
      </c>
      <c r="AV84" s="37" t="str">
        <f t="shared" si="185"/>
        <v>3,</v>
      </c>
      <c r="AW84" s="37" t="str">
        <f t="shared" si="186"/>
        <v>2880,</v>
      </c>
      <c r="AX84" s="37" t="str">
        <f t="shared" si="237"/>
        <v>3,2880,</v>
      </c>
      <c r="AY84" s="37" t="str">
        <f t="shared" si="238"/>
        <v>[3,2880]</v>
      </c>
    </row>
    <row r="85" spans="1:51" s="37" customFormat="1" x14ac:dyDescent="0.2">
      <c r="A85" s="37">
        <v>5</v>
      </c>
      <c r="B85" s="37" t="s">
        <v>1035</v>
      </c>
      <c r="C85" s="37">
        <v>32</v>
      </c>
      <c r="D85" s="34" t="s">
        <v>1170</v>
      </c>
      <c r="E85" s="37" t="s">
        <v>1031</v>
      </c>
      <c r="F85" s="37">
        <v>3</v>
      </c>
      <c r="G85" s="37" t="s">
        <v>807</v>
      </c>
      <c r="H85" s="37" t="s">
        <v>818</v>
      </c>
      <c r="I85" s="37" t="s">
        <v>828</v>
      </c>
      <c r="J85" s="17">
        <v>0</v>
      </c>
      <c r="K85" s="17">
        <v>0</v>
      </c>
      <c r="L85" s="17">
        <v>0</v>
      </c>
      <c r="M85" s="35">
        <f>(IF(G85="",挂机玩法规划!$L$2,VLOOKUP(G85,物品id!A:D,4,FALSE)*IF(J85=0,1,4))*IF(J85=0,1,J85)+IF(H85="",挂机玩法规划!$L$2,VLOOKUP(H85,物品id!A:D,4,FALSE)*IF(K85=0,1,4))*IF(K85=0,1,K85)+IF(I85="",挂机玩法规划!$L$2,VLOOKUP(I85,物品id!A:D,4,FALSE)*IF(L85=0,1,4))*IF(L85=0,1,L85))/O85</f>
        <v>0.25</v>
      </c>
      <c r="N85" s="44">
        <f>IF(G85="",挂机玩法规划!$L$2,VLOOKUP(G85,物品id!A:D,4,FALSE)*4)+IF(H85="",挂机玩法规划!$L$2,VLOOKUP(H85,物品id!A:D,4,FALSE)*4)+IF(I85="",挂机玩法规划!$L$2,VLOOKUP(I85,物品id!A:D,4,FALSE)*4)</f>
        <v>360</v>
      </c>
      <c r="O85" s="46">
        <v>360</v>
      </c>
      <c r="P85" s="37">
        <v>3</v>
      </c>
      <c r="Q85" s="37">
        <v>3</v>
      </c>
      <c r="R85" s="37">
        <v>3</v>
      </c>
      <c r="S85" s="37">
        <v>720</v>
      </c>
      <c r="T85" s="37" t="s">
        <v>835</v>
      </c>
      <c r="U85" s="37">
        <v>720</v>
      </c>
      <c r="V85" s="37" t="s">
        <v>837</v>
      </c>
      <c r="W85" s="37" t="s">
        <v>200</v>
      </c>
      <c r="X85" s="37">
        <v>4</v>
      </c>
      <c r="Y85" s="37">
        <f>U85*挂机玩法规划!$O$4*VLOOKUP(E85,挂机玩法规划!$G$2:$I$17,3,FALSE)</f>
        <v>4320</v>
      </c>
      <c r="Z85" s="17">
        <f t="shared" si="187"/>
        <v>1</v>
      </c>
      <c r="AA85" s="17">
        <f t="shared" si="188"/>
        <v>1080</v>
      </c>
      <c r="AB85" s="17">
        <f>(VLOOKUP(V85,物品id!A:E,5,FALSE)*挂机玩法填表!Z85+VLOOKUP(挂机玩法填表!W85,物品id!A:E,5,FALSE)*挂机玩法填表!AA85)/(U85/60)</f>
        <v>11.979999999999999</v>
      </c>
      <c r="AD85" s="17" t="str">
        <f>IF(G85="","",VLOOKUP(G85,物品id!$A:$B,2,FALSE)&amp;",")</f>
        <v>1321,</v>
      </c>
      <c r="AE85" s="17" t="str">
        <f>IF(H85="","",VLOOKUP(H85,物品id!$A:$B,2,FALSE)&amp;",")</f>
        <v>2321,</v>
      </c>
      <c r="AF85" s="17" t="str">
        <f>IF(I85="","",VLOOKUP(I85,物品id!$A:$B,2,FALSE)&amp;",")</f>
        <v>3321,</v>
      </c>
      <c r="AG85" s="37" t="str">
        <f t="shared" si="42"/>
        <v>1321,2321,3321,</v>
      </c>
      <c r="AH85" s="37" t="str">
        <f t="shared" si="43"/>
        <v>[1321,2321,3321]</v>
      </c>
      <c r="AI85" s="17" t="str">
        <f t="shared" si="181"/>
        <v>3,</v>
      </c>
      <c r="AJ85" s="17" t="str">
        <f t="shared" si="182"/>
        <v>3,</v>
      </c>
      <c r="AK85" s="17" t="str">
        <f t="shared" si="183"/>
        <v>3,</v>
      </c>
      <c r="AL85" s="37" t="str">
        <f t="shared" si="44"/>
        <v>3,3,3,</v>
      </c>
      <c r="AM85" s="37" t="str">
        <f t="shared" si="45"/>
        <v>[3,3,3]</v>
      </c>
      <c r="AN85" s="37" t="str">
        <f>VLOOKUP(T85,物品id!$A:$B,2,FALSE)&amp;","</f>
        <v>102,</v>
      </c>
      <c r="AO85" s="17" t="str">
        <f t="shared" si="193"/>
        <v>[102]</v>
      </c>
      <c r="AP85" s="37" t="str">
        <f t="shared" si="184"/>
        <v>720,</v>
      </c>
      <c r="AQ85" s="17" t="str">
        <f t="shared" si="194"/>
        <v>[720]</v>
      </c>
      <c r="AR85" s="37" t="str">
        <f>IF(V85="","",VLOOKUP(V85,物品id!$A:$B,2,FALSE)&amp;",")</f>
        <v>20033,</v>
      </c>
      <c r="AS85" s="37" t="str">
        <f>IF(W85="","",VLOOKUP(W85,物品id!$A:$B,2,FALSE)&amp;",")</f>
        <v>102,</v>
      </c>
      <c r="AT85" s="37" t="str">
        <f t="shared" si="46"/>
        <v>20033,102,</v>
      </c>
      <c r="AU85" s="37" t="str">
        <f t="shared" si="47"/>
        <v>[20033,102]</v>
      </c>
      <c r="AV85" s="37" t="str">
        <f t="shared" si="185"/>
        <v>4,</v>
      </c>
      <c r="AW85" s="37" t="str">
        <f t="shared" si="186"/>
        <v>4320,</v>
      </c>
      <c r="AX85" s="37" t="str">
        <f t="shared" si="48"/>
        <v>4,4320,</v>
      </c>
      <c r="AY85" s="37" t="str">
        <f t="shared" si="49"/>
        <v>[4,4320]</v>
      </c>
    </row>
    <row r="86" spans="1:51" s="47" customFormat="1" x14ac:dyDescent="0.2">
      <c r="A86" s="47">
        <v>1</v>
      </c>
      <c r="B86" s="47" t="s">
        <v>1033</v>
      </c>
      <c r="C86" s="47">
        <v>33</v>
      </c>
      <c r="D86" s="34" t="s">
        <v>1171</v>
      </c>
      <c r="E86" s="47" t="s">
        <v>1016</v>
      </c>
      <c r="F86" s="47">
        <v>3</v>
      </c>
      <c r="G86" s="47" t="s">
        <v>805</v>
      </c>
      <c r="H86" s="47" t="s">
        <v>816</v>
      </c>
      <c r="J86" s="17">
        <v>0</v>
      </c>
      <c r="K86" s="17">
        <v>0</v>
      </c>
      <c r="L86" s="17">
        <v>1</v>
      </c>
      <c r="M86" s="35">
        <f>(IF(G86="",挂机玩法规划!$L$2,VLOOKUP(G86,物品id!A:D,4,FALSE)*IF(J86=0,1,4))*IF(J86=0,1,J86)+IF(H86="",挂机玩法规划!$L$2,VLOOKUP(H86,物品id!A:D,4,FALSE)*IF(K86=0,1,4))*IF(K86=0,1,K86)+IF(I86="",挂机玩法规划!$L$2,VLOOKUP(I86,物品id!A:D,4,FALSE)*IF(L86=0,1,4))*IF(L86=0,1,L86))/O86</f>
        <v>0.29411764705882354</v>
      </c>
      <c r="N86" s="44">
        <f>IF(G86="",挂机玩法规划!$L$2,VLOOKUP(G86,物品id!A:D,4,FALSE)*4)+IF(H86="",挂机玩法规划!$L$2,VLOOKUP(H86,物品id!A:D,4,FALSE)*4)+IF(I86="",挂机玩法规划!$L$2,VLOOKUP(I86,物品id!A:D,4,FALSE)*4)</f>
        <v>170</v>
      </c>
      <c r="O86" s="48">
        <v>170</v>
      </c>
      <c r="P86" s="47">
        <v>3</v>
      </c>
      <c r="Q86" s="47">
        <v>3</v>
      </c>
      <c r="R86" s="47" t="s">
        <v>1131</v>
      </c>
      <c r="S86" s="47">
        <v>120</v>
      </c>
      <c r="T86" s="47" t="s">
        <v>835</v>
      </c>
      <c r="U86" s="47">
        <v>120</v>
      </c>
      <c r="V86" s="47" t="s">
        <v>842</v>
      </c>
      <c r="W86" s="47" t="s">
        <v>200</v>
      </c>
      <c r="X86" s="47">
        <v>2</v>
      </c>
      <c r="Y86" s="47">
        <f>U86*挂机玩法规划!$O$4*VLOOKUP(E86,挂机玩法规划!$G$2:$I$17,3,FALSE)</f>
        <v>480</v>
      </c>
      <c r="Z86" s="17">
        <f t="shared" si="187"/>
        <v>0.58823529411764708</v>
      </c>
      <c r="AA86" s="17">
        <f t="shared" si="188"/>
        <v>141.1764705882353</v>
      </c>
      <c r="AB86" s="17">
        <f>(VLOOKUP(V86,物品id!A:E,5,FALSE)*挂机玩法填表!Z86+VLOOKUP(挂机玩法填表!W86,物品id!A:E,5,FALSE)*挂机玩法填表!AA86)/(U86/60)</f>
        <v>16.258823529411767</v>
      </c>
      <c r="AD86" s="47" t="str">
        <f>IF(G86="","",VLOOKUP(G86,物品id!$A:$B,2,FALSE)&amp;",")</f>
        <v>1221,</v>
      </c>
      <c r="AE86" s="47" t="str">
        <f>IF(H86="","",VLOOKUP(H86,物品id!$A:$B,2,FALSE)&amp;",")</f>
        <v>2221,</v>
      </c>
      <c r="AF86" s="47" t="str">
        <f>IF(I86="","",VLOOKUP(I86,物品id!$A:$B,2,FALSE)&amp;",")</f>
        <v/>
      </c>
      <c r="AG86" s="47" t="str">
        <f t="shared" ref="AG86:AG104" si="239">AD86&amp;AE86&amp;AF86</f>
        <v>1221,2221,</v>
      </c>
      <c r="AH86" s="47" t="str">
        <f t="shared" ref="AH86:AH104" si="240">"["&amp;LEFT(AG86,LEN(AG86)-1)&amp;"]"</f>
        <v>[1221,2221]</v>
      </c>
      <c r="AI86" s="17" t="str">
        <f t="shared" si="181"/>
        <v>3,</v>
      </c>
      <c r="AJ86" s="17" t="str">
        <f t="shared" si="182"/>
        <v>3,</v>
      </c>
      <c r="AK86" s="17" t="str">
        <f t="shared" si="183"/>
        <v/>
      </c>
      <c r="AL86" s="47" t="str">
        <f t="shared" ref="AL86:AL104" si="241">AI86&amp;AJ86&amp;AK86</f>
        <v>3,3,</v>
      </c>
      <c r="AM86" s="47" t="str">
        <f t="shared" ref="AM86:AM104" si="242">"["&amp;LEFT(AL86,LEN(AL86)-1)&amp;"]"</f>
        <v>[3,3]</v>
      </c>
      <c r="AN86" s="47" t="str">
        <f>VLOOKUP(T86,物品id!$A:$B,2,FALSE)&amp;","</f>
        <v>102,</v>
      </c>
      <c r="AO86" s="17" t="str">
        <f t="shared" si="193"/>
        <v>[102]</v>
      </c>
      <c r="AP86" s="47" t="str">
        <f t="shared" si="184"/>
        <v>120,</v>
      </c>
      <c r="AQ86" s="17" t="str">
        <f t="shared" si="194"/>
        <v>[120]</v>
      </c>
      <c r="AR86" s="47" t="str">
        <f>IF(V86="","",VLOOKUP(V86,物品id!$A:$B,2,FALSE)&amp;",")</f>
        <v>20038,</v>
      </c>
      <c r="AS86" s="47" t="str">
        <f>IF(W86="","",VLOOKUP(W86,物品id!$A:$B,2,FALSE)&amp;",")</f>
        <v>102,</v>
      </c>
      <c r="AT86" s="47" t="str">
        <f t="shared" ref="AT86:AT104" si="243">AR86&amp;AS86</f>
        <v>20038,102,</v>
      </c>
      <c r="AU86" s="47" t="str">
        <f t="shared" ref="AU86:AU104" si="244">"["&amp;LEFT(AT86,LEN(AT86)-1)&amp;"]"</f>
        <v>[20038,102]</v>
      </c>
      <c r="AV86" s="47" t="str">
        <f t="shared" si="185"/>
        <v>2,</v>
      </c>
      <c r="AW86" s="47" t="str">
        <f t="shared" si="186"/>
        <v>480,</v>
      </c>
      <c r="AX86" s="47" t="str">
        <f t="shared" ref="AX86:AX104" si="245">AV86&amp;AW86</f>
        <v>2,480,</v>
      </c>
      <c r="AY86" s="47" t="str">
        <f t="shared" ref="AY86:AY104" si="246">"["&amp;LEFT(AX86,LEN(AX86)-1)&amp;"]"</f>
        <v>[2,480]</v>
      </c>
    </row>
    <row r="87" spans="1:51" s="47" customFormat="1" x14ac:dyDescent="0.2">
      <c r="A87" s="47">
        <v>1</v>
      </c>
      <c r="B87" s="47" t="s">
        <v>1033</v>
      </c>
      <c r="C87" s="47">
        <v>33</v>
      </c>
      <c r="D87" s="34" t="s">
        <v>1171</v>
      </c>
      <c r="E87" s="47" t="s">
        <v>1016</v>
      </c>
      <c r="F87" s="47">
        <v>3</v>
      </c>
      <c r="G87" s="47" t="s">
        <v>805</v>
      </c>
      <c r="H87" s="47" t="s">
        <v>1118</v>
      </c>
      <c r="J87" s="17">
        <v>0</v>
      </c>
      <c r="K87" s="17">
        <v>0</v>
      </c>
      <c r="L87" s="17">
        <v>1</v>
      </c>
      <c r="M87" s="35">
        <f>(IF(G87="",挂机玩法规划!$L$2,VLOOKUP(G87,物品id!A:D,4,FALSE)*IF(J87=0,1,4))*IF(J87=0,1,J87)+IF(H87="",挂机玩法规划!$L$2,VLOOKUP(H87,物品id!A:D,4,FALSE)*IF(K87=0,1,4))*IF(K87=0,1,K87)+IF(I87="",挂机玩法规划!$L$2,VLOOKUP(I87,物品id!A:D,4,FALSE)*IF(L87=0,1,4))*IF(L87=0,1,L87))/O87</f>
        <v>0.29411764705882354</v>
      </c>
      <c r="N87" s="44">
        <f>IF(G87="",挂机玩法规划!$L$2,VLOOKUP(G87,物品id!A:D,4,FALSE)*4)+IF(H87="",挂机玩法规划!$L$2,VLOOKUP(H87,物品id!A:D,4,FALSE)*4)+IF(I87="",挂机玩法规划!$L$2,VLOOKUP(I87,物品id!A:D,4,FALSE)*4)</f>
        <v>170</v>
      </c>
      <c r="O87" s="48">
        <v>170</v>
      </c>
      <c r="P87" s="47">
        <v>3</v>
      </c>
      <c r="Q87" s="47">
        <v>3</v>
      </c>
      <c r="R87" s="47" t="s">
        <v>1131</v>
      </c>
      <c r="S87" s="47">
        <v>120</v>
      </c>
      <c r="T87" s="47" t="s">
        <v>835</v>
      </c>
      <c r="U87" s="47">
        <v>120</v>
      </c>
      <c r="V87" s="47" t="s">
        <v>842</v>
      </c>
      <c r="W87" s="47" t="s">
        <v>200</v>
      </c>
      <c r="X87" s="47">
        <v>2</v>
      </c>
      <c r="Y87" s="47">
        <f>U87*挂机玩法规划!$O$4*VLOOKUP(E87,挂机玩法规划!$G$2:$I$17,3,FALSE)</f>
        <v>480</v>
      </c>
      <c r="Z87" s="17">
        <f t="shared" si="187"/>
        <v>0.58823529411764708</v>
      </c>
      <c r="AA87" s="17">
        <f t="shared" si="188"/>
        <v>141.1764705882353</v>
      </c>
      <c r="AB87" s="17">
        <f>(VLOOKUP(V87,物品id!A:E,5,FALSE)*挂机玩法填表!Z87+VLOOKUP(挂机玩法填表!W87,物品id!A:E,5,FALSE)*挂机玩法填表!AA87)/(U87/60)</f>
        <v>16.258823529411767</v>
      </c>
      <c r="AD87" s="47" t="str">
        <f>IF(G87="","",VLOOKUP(G87,物品id!$A:$B,2,FALSE)&amp;",")</f>
        <v>1221,</v>
      </c>
      <c r="AE87" s="47" t="str">
        <f>IF(H87="","",VLOOKUP(H87,物品id!$A:$B,2,FALSE)&amp;",")</f>
        <v>3221,</v>
      </c>
      <c r="AF87" s="47" t="str">
        <f>IF(I87="","",VLOOKUP(I87,物品id!$A:$B,2,FALSE)&amp;",")</f>
        <v/>
      </c>
      <c r="AG87" s="47" t="str">
        <f t="shared" si="239"/>
        <v>1221,3221,</v>
      </c>
      <c r="AH87" s="47" t="str">
        <f t="shared" si="240"/>
        <v>[1221,3221]</v>
      </c>
      <c r="AI87" s="17" t="str">
        <f t="shared" si="181"/>
        <v>3,</v>
      </c>
      <c r="AJ87" s="17" t="str">
        <f t="shared" si="182"/>
        <v>3,</v>
      </c>
      <c r="AK87" s="17" t="str">
        <f t="shared" si="183"/>
        <v/>
      </c>
      <c r="AL87" s="47" t="str">
        <f t="shared" si="241"/>
        <v>3,3,</v>
      </c>
      <c r="AM87" s="47" t="str">
        <f t="shared" si="242"/>
        <v>[3,3]</v>
      </c>
      <c r="AN87" s="47" t="str">
        <f>VLOOKUP(T87,物品id!$A:$B,2,FALSE)&amp;","</f>
        <v>102,</v>
      </c>
      <c r="AO87" s="17" t="str">
        <f t="shared" si="193"/>
        <v>[102]</v>
      </c>
      <c r="AP87" s="47" t="str">
        <f t="shared" si="184"/>
        <v>120,</v>
      </c>
      <c r="AQ87" s="17" t="str">
        <f t="shared" si="194"/>
        <v>[120]</v>
      </c>
      <c r="AR87" s="47" t="str">
        <f>IF(V87="","",VLOOKUP(V87,物品id!$A:$B,2,FALSE)&amp;",")</f>
        <v>20038,</v>
      </c>
      <c r="AS87" s="47" t="str">
        <f>IF(W87="","",VLOOKUP(W87,物品id!$A:$B,2,FALSE)&amp;",")</f>
        <v>102,</v>
      </c>
      <c r="AT87" s="47" t="str">
        <f t="shared" si="243"/>
        <v>20038,102,</v>
      </c>
      <c r="AU87" s="47" t="str">
        <f t="shared" si="244"/>
        <v>[20038,102]</v>
      </c>
      <c r="AV87" s="47" t="str">
        <f t="shared" si="185"/>
        <v>2,</v>
      </c>
      <c r="AW87" s="47" t="str">
        <f t="shared" si="186"/>
        <v>480,</v>
      </c>
      <c r="AX87" s="47" t="str">
        <f t="shared" si="245"/>
        <v>2,480,</v>
      </c>
      <c r="AY87" s="47" t="str">
        <f t="shared" si="246"/>
        <v>[2,480]</v>
      </c>
    </row>
    <row r="88" spans="1:51" s="47" customFormat="1" x14ac:dyDescent="0.2">
      <c r="A88" s="47">
        <v>1</v>
      </c>
      <c r="B88" s="47" t="s">
        <v>1033</v>
      </c>
      <c r="C88" s="47">
        <v>33</v>
      </c>
      <c r="D88" s="34" t="s">
        <v>1171</v>
      </c>
      <c r="E88" s="47" t="s">
        <v>1016</v>
      </c>
      <c r="F88" s="47">
        <v>3</v>
      </c>
      <c r="G88" s="47" t="s">
        <v>1117</v>
      </c>
      <c r="H88" s="47" t="s">
        <v>1118</v>
      </c>
      <c r="J88" s="17">
        <v>0</v>
      </c>
      <c r="K88" s="17">
        <v>0</v>
      </c>
      <c r="L88" s="17">
        <v>1</v>
      </c>
      <c r="M88" s="35">
        <f>(IF(G88="",挂机玩法规划!$L$2,VLOOKUP(G88,物品id!A:D,4,FALSE)*IF(J88=0,1,4))*IF(J88=0,1,J88)+IF(H88="",挂机玩法规划!$L$2,VLOOKUP(H88,物品id!A:D,4,FALSE)*IF(K88=0,1,4))*IF(K88=0,1,K88)+IF(I88="",挂机玩法规划!$L$2,VLOOKUP(I88,物品id!A:D,4,FALSE)*IF(L88=0,1,4))*IF(L88=0,1,L88))/O88</f>
        <v>0.29411764705882354</v>
      </c>
      <c r="N88" s="44">
        <f>IF(G88="",挂机玩法规划!$L$2,VLOOKUP(G88,物品id!A:D,4,FALSE)*4)+IF(H88="",挂机玩法规划!$L$2,VLOOKUP(H88,物品id!A:D,4,FALSE)*4)+IF(I88="",挂机玩法规划!$L$2,VLOOKUP(I88,物品id!A:D,4,FALSE)*4)</f>
        <v>170</v>
      </c>
      <c r="O88" s="48">
        <v>170</v>
      </c>
      <c r="P88" s="47">
        <v>3</v>
      </c>
      <c r="Q88" s="47">
        <v>3</v>
      </c>
      <c r="R88" s="47" t="s">
        <v>1131</v>
      </c>
      <c r="S88" s="47">
        <v>120</v>
      </c>
      <c r="T88" s="47" t="s">
        <v>835</v>
      </c>
      <c r="U88" s="47">
        <v>120</v>
      </c>
      <c r="V88" s="47" t="s">
        <v>842</v>
      </c>
      <c r="W88" s="47" t="s">
        <v>200</v>
      </c>
      <c r="X88" s="47">
        <v>2</v>
      </c>
      <c r="Y88" s="47">
        <f>U88*挂机玩法规划!$O$4*VLOOKUP(E88,挂机玩法规划!$G$2:$I$17,3,FALSE)</f>
        <v>480</v>
      </c>
      <c r="Z88" s="17">
        <f t="shared" si="187"/>
        <v>0.58823529411764708</v>
      </c>
      <c r="AA88" s="17">
        <f t="shared" si="188"/>
        <v>141.1764705882353</v>
      </c>
      <c r="AB88" s="17">
        <f>(VLOOKUP(V88,物品id!A:E,5,FALSE)*挂机玩法填表!Z88+VLOOKUP(挂机玩法填表!W88,物品id!A:E,5,FALSE)*挂机玩法填表!AA88)/(U88/60)</f>
        <v>16.258823529411767</v>
      </c>
      <c r="AD88" s="47" t="str">
        <f>IF(G88="","",VLOOKUP(G88,物品id!$A:$B,2,FALSE)&amp;",")</f>
        <v>2221,</v>
      </c>
      <c r="AE88" s="47" t="str">
        <f>IF(H88="","",VLOOKUP(H88,物品id!$A:$B,2,FALSE)&amp;",")</f>
        <v>3221,</v>
      </c>
      <c r="AF88" s="47" t="str">
        <f>IF(I88="","",VLOOKUP(I88,物品id!$A:$B,2,FALSE)&amp;",")</f>
        <v/>
      </c>
      <c r="AG88" s="47" t="str">
        <f t="shared" si="239"/>
        <v>2221,3221,</v>
      </c>
      <c r="AH88" s="47" t="str">
        <f t="shared" si="240"/>
        <v>[2221,3221]</v>
      </c>
      <c r="AI88" s="17" t="str">
        <f t="shared" si="181"/>
        <v>3,</v>
      </c>
      <c r="AJ88" s="17" t="str">
        <f t="shared" si="182"/>
        <v>3,</v>
      </c>
      <c r="AK88" s="17" t="str">
        <f t="shared" si="183"/>
        <v/>
      </c>
      <c r="AL88" s="47" t="str">
        <f t="shared" si="241"/>
        <v>3,3,</v>
      </c>
      <c r="AM88" s="47" t="str">
        <f t="shared" si="242"/>
        <v>[3,3]</v>
      </c>
      <c r="AN88" s="47" t="str">
        <f>VLOOKUP(T88,物品id!$A:$B,2,FALSE)&amp;","</f>
        <v>102,</v>
      </c>
      <c r="AO88" s="17" t="str">
        <f t="shared" si="193"/>
        <v>[102]</v>
      </c>
      <c r="AP88" s="47" t="str">
        <f t="shared" si="184"/>
        <v>120,</v>
      </c>
      <c r="AQ88" s="17" t="str">
        <f t="shared" si="194"/>
        <v>[120]</v>
      </c>
      <c r="AR88" s="47" t="str">
        <f>IF(V88="","",VLOOKUP(V88,物品id!$A:$B,2,FALSE)&amp;",")</f>
        <v>20038,</v>
      </c>
      <c r="AS88" s="47" t="str">
        <f>IF(W88="","",VLOOKUP(W88,物品id!$A:$B,2,FALSE)&amp;",")</f>
        <v>102,</v>
      </c>
      <c r="AT88" s="47" t="str">
        <f t="shared" si="243"/>
        <v>20038,102,</v>
      </c>
      <c r="AU88" s="47" t="str">
        <f t="shared" si="244"/>
        <v>[20038,102]</v>
      </c>
      <c r="AV88" s="47" t="str">
        <f t="shared" si="185"/>
        <v>2,</v>
      </c>
      <c r="AW88" s="47" t="str">
        <f t="shared" si="186"/>
        <v>480,</v>
      </c>
      <c r="AX88" s="47" t="str">
        <f t="shared" si="245"/>
        <v>2,480,</v>
      </c>
      <c r="AY88" s="47" t="str">
        <f t="shared" si="246"/>
        <v>[2,480]</v>
      </c>
    </row>
    <row r="89" spans="1:51" s="47" customFormat="1" x14ac:dyDescent="0.2">
      <c r="A89" s="47">
        <v>2</v>
      </c>
      <c r="B89" s="47" t="s">
        <v>1033</v>
      </c>
      <c r="C89" s="47">
        <v>34</v>
      </c>
      <c r="D89" s="34" t="s">
        <v>1139</v>
      </c>
      <c r="E89" s="47" t="s">
        <v>1016</v>
      </c>
      <c r="F89" s="47">
        <v>3</v>
      </c>
      <c r="G89" s="47" t="s">
        <v>1112</v>
      </c>
      <c r="H89" s="47" t="s">
        <v>1116</v>
      </c>
      <c r="J89" s="17">
        <v>1</v>
      </c>
      <c r="K89" s="17">
        <v>0</v>
      </c>
      <c r="L89" s="17">
        <v>1</v>
      </c>
      <c r="M89" s="35">
        <f>(IF(G89="",挂机玩法规划!$L$2,VLOOKUP(G89,物品id!A:D,4,FALSE)*IF(J89=0,1,4))*IF(J89=0,1,J89)+IF(H89="",挂机玩法规划!$L$2,VLOOKUP(H89,物品id!A:D,4,FALSE)*IF(K89=0,1,4))*IF(K89=0,1,K89)+IF(I89="",挂机玩法规划!$L$2,VLOOKUP(I89,物品id!A:D,4,FALSE)*IF(L89=0,1,4))*IF(L89=0,1,L89))/O89</f>
        <v>0.6470588235294118</v>
      </c>
      <c r="N89" s="44">
        <f>IF(G89="",挂机玩法规划!$L$2,VLOOKUP(G89,物品id!A:D,4,FALSE)*4)+IF(H89="",挂机玩法规划!$L$2,VLOOKUP(H89,物品id!A:D,4,FALSE)*4)+IF(I89="",挂机玩法规划!$L$2,VLOOKUP(I89,物品id!A:D,4,FALSE)*4)</f>
        <v>170</v>
      </c>
      <c r="O89" s="48">
        <v>170</v>
      </c>
      <c r="P89" s="47">
        <v>3</v>
      </c>
      <c r="Q89" s="47">
        <v>3</v>
      </c>
      <c r="R89" s="47" t="s">
        <v>1131</v>
      </c>
      <c r="S89" s="47">
        <v>240</v>
      </c>
      <c r="T89" s="47" t="s">
        <v>835</v>
      </c>
      <c r="U89" s="47">
        <v>240</v>
      </c>
      <c r="V89" s="47" t="s">
        <v>841</v>
      </c>
      <c r="W89" s="47" t="s">
        <v>200</v>
      </c>
      <c r="X89" s="47">
        <v>1</v>
      </c>
      <c r="Y89" s="47">
        <f>U89*挂机玩法规划!$O$4*VLOOKUP(E89,挂机玩法规划!$G$2:$I$17,3,FALSE)</f>
        <v>960</v>
      </c>
      <c r="Z89" s="17">
        <f t="shared" si="187"/>
        <v>0.6470588235294118</v>
      </c>
      <c r="AA89" s="17">
        <f t="shared" si="188"/>
        <v>621.17647058823536</v>
      </c>
      <c r="AB89" s="17">
        <f>(VLOOKUP(V89,物品id!A:E,5,FALSE)*挂机玩法填表!Z89+VLOOKUP(挂机玩法填表!W89,物品id!A:E,5,FALSE)*挂机玩法填表!AA89)/(U89/60)</f>
        <v>19.592941176470589</v>
      </c>
      <c r="AD89" s="47" t="str">
        <f>IF(G89="","",VLOOKUP(G89,物品id!$A:$B,2,FALSE)&amp;",")</f>
        <v>1211,</v>
      </c>
      <c r="AE89" s="47" t="str">
        <f>IF(H89="","",VLOOKUP(H89,物品id!$A:$B,2,FALSE)&amp;",")</f>
        <v>1221,</v>
      </c>
      <c r="AF89" s="47" t="str">
        <f>IF(I89="","",VLOOKUP(I89,物品id!$A:$B,2,FALSE)&amp;",")</f>
        <v/>
      </c>
      <c r="AG89" s="47" t="str">
        <f t="shared" si="239"/>
        <v>1211,1221,</v>
      </c>
      <c r="AH89" s="47" t="str">
        <f t="shared" si="240"/>
        <v>[1211,1221]</v>
      </c>
      <c r="AI89" s="17" t="str">
        <f t="shared" si="181"/>
        <v>3,</v>
      </c>
      <c r="AJ89" s="17" t="str">
        <f t="shared" si="182"/>
        <v>3,</v>
      </c>
      <c r="AK89" s="17" t="str">
        <f t="shared" si="183"/>
        <v/>
      </c>
      <c r="AL89" s="47" t="str">
        <f t="shared" si="241"/>
        <v>3,3,</v>
      </c>
      <c r="AM89" s="47" t="str">
        <f t="shared" si="242"/>
        <v>[3,3]</v>
      </c>
      <c r="AN89" s="47" t="str">
        <f>VLOOKUP(T89,物品id!$A:$B,2,FALSE)&amp;","</f>
        <v>102,</v>
      </c>
      <c r="AO89" s="17" t="str">
        <f t="shared" si="193"/>
        <v>[102]</v>
      </c>
      <c r="AP89" s="47" t="str">
        <f t="shared" si="184"/>
        <v>240,</v>
      </c>
      <c r="AQ89" s="17" t="str">
        <f t="shared" si="194"/>
        <v>[240]</v>
      </c>
      <c r="AR89" s="47" t="str">
        <f>IF(V89="","",VLOOKUP(V89,物品id!$A:$B,2,FALSE)&amp;",")</f>
        <v>20037,</v>
      </c>
      <c r="AS89" s="47" t="str">
        <f>IF(W89="","",VLOOKUP(W89,物品id!$A:$B,2,FALSE)&amp;",")</f>
        <v>102,</v>
      </c>
      <c r="AT89" s="47" t="str">
        <f t="shared" si="243"/>
        <v>20037,102,</v>
      </c>
      <c r="AU89" s="47" t="str">
        <f t="shared" si="244"/>
        <v>[20037,102]</v>
      </c>
      <c r="AV89" s="47" t="str">
        <f t="shared" si="185"/>
        <v>1,</v>
      </c>
      <c r="AW89" s="47" t="str">
        <f t="shared" si="186"/>
        <v>960,</v>
      </c>
      <c r="AX89" s="47" t="str">
        <f t="shared" si="245"/>
        <v>1,960,</v>
      </c>
      <c r="AY89" s="47" t="str">
        <f t="shared" si="246"/>
        <v>[1,960]</v>
      </c>
    </row>
    <row r="90" spans="1:51" s="47" customFormat="1" x14ac:dyDescent="0.2">
      <c r="A90" s="47">
        <v>2</v>
      </c>
      <c r="B90" s="47" t="s">
        <v>1033</v>
      </c>
      <c r="C90" s="47">
        <v>34</v>
      </c>
      <c r="D90" s="34" t="s">
        <v>1139</v>
      </c>
      <c r="E90" s="47" t="s">
        <v>1016</v>
      </c>
      <c r="F90" s="47">
        <v>3</v>
      </c>
      <c r="G90" s="47" t="s">
        <v>1110</v>
      </c>
      <c r="H90" s="47" t="s">
        <v>816</v>
      </c>
      <c r="J90" s="17">
        <v>1</v>
      </c>
      <c r="K90" s="17">
        <v>0</v>
      </c>
      <c r="L90" s="17">
        <v>1</v>
      </c>
      <c r="M90" s="35">
        <f>(IF(G90="",挂机玩法规划!$L$2,VLOOKUP(G90,物品id!A:D,4,FALSE)*IF(J90=0,1,4))*IF(J90=0,1,J90)+IF(H90="",挂机玩法规划!$L$2,VLOOKUP(H90,物品id!A:D,4,FALSE)*IF(K90=0,1,4))*IF(K90=0,1,K90)+IF(I90="",挂机玩法规划!$L$2,VLOOKUP(I90,物品id!A:D,4,FALSE)*IF(L90=0,1,4))*IF(L90=0,1,L90))/O90</f>
        <v>0.6470588235294118</v>
      </c>
      <c r="N90" s="44">
        <f>IF(G90="",挂机玩法规划!$L$2,VLOOKUP(G90,物品id!A:D,4,FALSE)*4)+IF(H90="",挂机玩法规划!$L$2,VLOOKUP(H90,物品id!A:D,4,FALSE)*4)+IF(I90="",挂机玩法规划!$L$2,VLOOKUP(I90,物品id!A:D,4,FALSE)*4)</f>
        <v>170</v>
      </c>
      <c r="O90" s="48">
        <v>170</v>
      </c>
      <c r="P90" s="47">
        <v>3</v>
      </c>
      <c r="Q90" s="47">
        <v>3</v>
      </c>
      <c r="R90" s="47" t="s">
        <v>1131</v>
      </c>
      <c r="S90" s="47">
        <v>240</v>
      </c>
      <c r="T90" s="47" t="s">
        <v>835</v>
      </c>
      <c r="U90" s="47">
        <v>240</v>
      </c>
      <c r="V90" s="47" t="s">
        <v>841</v>
      </c>
      <c r="W90" s="47" t="s">
        <v>200</v>
      </c>
      <c r="X90" s="47">
        <v>1</v>
      </c>
      <c r="Y90" s="47">
        <f>U90*挂机玩法规划!$O$4*VLOOKUP(E90,挂机玩法规划!$G$2:$I$17,3,FALSE)</f>
        <v>960</v>
      </c>
      <c r="Z90" s="17">
        <f t="shared" si="187"/>
        <v>0.6470588235294118</v>
      </c>
      <c r="AA90" s="17">
        <f t="shared" si="188"/>
        <v>621.17647058823536</v>
      </c>
      <c r="AB90" s="17">
        <f>(VLOOKUP(V90,物品id!A:E,5,FALSE)*挂机玩法填表!Z90+VLOOKUP(挂机玩法填表!W90,物品id!A:E,5,FALSE)*挂机玩法填表!AA90)/(U90/60)</f>
        <v>19.592941176470589</v>
      </c>
      <c r="AD90" s="47" t="str">
        <f>IF(G90="","",VLOOKUP(G90,物品id!$A:$B,2,FALSE)&amp;",")</f>
        <v>2211,</v>
      </c>
      <c r="AE90" s="47" t="str">
        <f>IF(H90="","",VLOOKUP(H90,物品id!$A:$B,2,FALSE)&amp;",")</f>
        <v>2221,</v>
      </c>
      <c r="AF90" s="47" t="str">
        <f>IF(I90="","",VLOOKUP(I90,物品id!$A:$B,2,FALSE)&amp;",")</f>
        <v/>
      </c>
      <c r="AG90" s="47" t="str">
        <f t="shared" si="239"/>
        <v>2211,2221,</v>
      </c>
      <c r="AH90" s="47" t="str">
        <f t="shared" si="240"/>
        <v>[2211,2221]</v>
      </c>
      <c r="AI90" s="17" t="str">
        <f t="shared" si="181"/>
        <v>3,</v>
      </c>
      <c r="AJ90" s="17" t="str">
        <f t="shared" si="182"/>
        <v>3,</v>
      </c>
      <c r="AK90" s="17" t="str">
        <f t="shared" si="183"/>
        <v/>
      </c>
      <c r="AL90" s="47" t="str">
        <f t="shared" si="241"/>
        <v>3,3,</v>
      </c>
      <c r="AM90" s="47" t="str">
        <f t="shared" si="242"/>
        <v>[3,3]</v>
      </c>
      <c r="AN90" s="47" t="str">
        <f>VLOOKUP(T90,物品id!$A:$B,2,FALSE)&amp;","</f>
        <v>102,</v>
      </c>
      <c r="AO90" s="17" t="str">
        <f t="shared" si="193"/>
        <v>[102]</v>
      </c>
      <c r="AP90" s="47" t="str">
        <f t="shared" si="184"/>
        <v>240,</v>
      </c>
      <c r="AQ90" s="17" t="str">
        <f t="shared" si="194"/>
        <v>[240]</v>
      </c>
      <c r="AR90" s="47" t="str">
        <f>IF(V90="","",VLOOKUP(V90,物品id!$A:$B,2,FALSE)&amp;",")</f>
        <v>20037,</v>
      </c>
      <c r="AS90" s="47" t="str">
        <f>IF(W90="","",VLOOKUP(W90,物品id!$A:$B,2,FALSE)&amp;",")</f>
        <v>102,</v>
      </c>
      <c r="AT90" s="47" t="str">
        <f t="shared" si="243"/>
        <v>20037,102,</v>
      </c>
      <c r="AU90" s="47" t="str">
        <f t="shared" si="244"/>
        <v>[20037,102]</v>
      </c>
      <c r="AV90" s="47" t="str">
        <f t="shared" si="185"/>
        <v>1,</v>
      </c>
      <c r="AW90" s="47" t="str">
        <f t="shared" si="186"/>
        <v>960,</v>
      </c>
      <c r="AX90" s="47" t="str">
        <f t="shared" si="245"/>
        <v>1,960,</v>
      </c>
      <c r="AY90" s="47" t="str">
        <f t="shared" si="246"/>
        <v>[1,960]</v>
      </c>
    </row>
    <row r="91" spans="1:51" s="47" customFormat="1" x14ac:dyDescent="0.2">
      <c r="A91" s="47">
        <v>2</v>
      </c>
      <c r="B91" s="47" t="s">
        <v>1033</v>
      </c>
      <c r="C91" s="47">
        <v>34</v>
      </c>
      <c r="D91" s="34" t="s">
        <v>1139</v>
      </c>
      <c r="E91" s="47" t="s">
        <v>1016</v>
      </c>
      <c r="F91" s="47">
        <v>3</v>
      </c>
      <c r="G91" s="47" t="s">
        <v>1111</v>
      </c>
      <c r="H91" s="47" t="s">
        <v>1118</v>
      </c>
      <c r="J91" s="17">
        <v>1</v>
      </c>
      <c r="K91" s="17">
        <v>0</v>
      </c>
      <c r="L91" s="17">
        <v>1</v>
      </c>
      <c r="M91" s="35">
        <f>(IF(G91="",挂机玩法规划!$L$2,VLOOKUP(G91,物品id!A:D,4,FALSE)*IF(J91=0,1,4))*IF(J91=0,1,J91)+IF(H91="",挂机玩法规划!$L$2,VLOOKUP(H91,物品id!A:D,4,FALSE)*IF(K91=0,1,4))*IF(K91=0,1,K91)+IF(I91="",挂机玩法规划!$L$2,VLOOKUP(I91,物品id!A:D,4,FALSE)*IF(L91=0,1,4))*IF(L91=0,1,L91))/O91</f>
        <v>0.6470588235294118</v>
      </c>
      <c r="N91" s="44">
        <f>IF(G91="",挂机玩法规划!$L$2,VLOOKUP(G91,物品id!A:D,4,FALSE)*4)+IF(H91="",挂机玩法规划!$L$2,VLOOKUP(H91,物品id!A:D,4,FALSE)*4)+IF(I91="",挂机玩法规划!$L$2,VLOOKUP(I91,物品id!A:D,4,FALSE)*4)</f>
        <v>170</v>
      </c>
      <c r="O91" s="48">
        <v>170</v>
      </c>
      <c r="P91" s="47">
        <v>3</v>
      </c>
      <c r="Q91" s="47">
        <v>3</v>
      </c>
      <c r="R91" s="47" t="s">
        <v>1131</v>
      </c>
      <c r="S91" s="47">
        <v>240</v>
      </c>
      <c r="T91" s="47" t="s">
        <v>835</v>
      </c>
      <c r="U91" s="47">
        <v>240</v>
      </c>
      <c r="V91" s="47" t="s">
        <v>841</v>
      </c>
      <c r="W91" s="47" t="s">
        <v>200</v>
      </c>
      <c r="X91" s="47">
        <v>1</v>
      </c>
      <c r="Y91" s="47">
        <f>U91*挂机玩法规划!$O$4*VLOOKUP(E91,挂机玩法规划!$G$2:$I$17,3,FALSE)</f>
        <v>960</v>
      </c>
      <c r="Z91" s="17">
        <f t="shared" si="187"/>
        <v>0.6470588235294118</v>
      </c>
      <c r="AA91" s="17">
        <f t="shared" si="188"/>
        <v>621.17647058823536</v>
      </c>
      <c r="AB91" s="17">
        <f>(VLOOKUP(V91,物品id!A:E,5,FALSE)*挂机玩法填表!Z91+VLOOKUP(挂机玩法填表!W91,物品id!A:E,5,FALSE)*挂机玩法填表!AA91)/(U91/60)</f>
        <v>19.592941176470589</v>
      </c>
      <c r="AD91" s="47" t="str">
        <f>IF(G91="","",VLOOKUP(G91,物品id!$A:$B,2,FALSE)&amp;",")</f>
        <v>3211,</v>
      </c>
      <c r="AE91" s="47" t="str">
        <f>IF(H91="","",VLOOKUP(H91,物品id!$A:$B,2,FALSE)&amp;",")</f>
        <v>3221,</v>
      </c>
      <c r="AF91" s="47" t="str">
        <f>IF(I91="","",VLOOKUP(I91,物品id!$A:$B,2,FALSE)&amp;",")</f>
        <v/>
      </c>
      <c r="AG91" s="47" t="str">
        <f t="shared" si="239"/>
        <v>3211,3221,</v>
      </c>
      <c r="AH91" s="47" t="str">
        <f t="shared" si="240"/>
        <v>[3211,3221]</v>
      </c>
      <c r="AI91" s="17" t="str">
        <f t="shared" si="181"/>
        <v>3,</v>
      </c>
      <c r="AJ91" s="17" t="str">
        <f t="shared" si="182"/>
        <v>3,</v>
      </c>
      <c r="AK91" s="17" t="str">
        <f t="shared" si="183"/>
        <v/>
      </c>
      <c r="AL91" s="47" t="str">
        <f t="shared" si="241"/>
        <v>3,3,</v>
      </c>
      <c r="AM91" s="47" t="str">
        <f t="shared" si="242"/>
        <v>[3,3]</v>
      </c>
      <c r="AN91" s="47" t="str">
        <f>VLOOKUP(T91,物品id!$A:$B,2,FALSE)&amp;","</f>
        <v>102,</v>
      </c>
      <c r="AO91" s="17" t="str">
        <f t="shared" si="193"/>
        <v>[102]</v>
      </c>
      <c r="AP91" s="47" t="str">
        <f t="shared" si="184"/>
        <v>240,</v>
      </c>
      <c r="AQ91" s="17" t="str">
        <f t="shared" si="194"/>
        <v>[240]</v>
      </c>
      <c r="AR91" s="47" t="str">
        <f>IF(V91="","",VLOOKUP(V91,物品id!$A:$B,2,FALSE)&amp;",")</f>
        <v>20037,</v>
      </c>
      <c r="AS91" s="47" t="str">
        <f>IF(W91="","",VLOOKUP(W91,物品id!$A:$B,2,FALSE)&amp;",")</f>
        <v>102,</v>
      </c>
      <c r="AT91" s="47" t="str">
        <f t="shared" si="243"/>
        <v>20037,102,</v>
      </c>
      <c r="AU91" s="47" t="str">
        <f t="shared" si="244"/>
        <v>[20037,102]</v>
      </c>
      <c r="AV91" s="47" t="str">
        <f t="shared" si="185"/>
        <v>1,</v>
      </c>
      <c r="AW91" s="47" t="str">
        <f t="shared" si="186"/>
        <v>960,</v>
      </c>
      <c r="AX91" s="47" t="str">
        <f t="shared" si="245"/>
        <v>1,960,</v>
      </c>
      <c r="AY91" s="47" t="str">
        <f t="shared" si="246"/>
        <v>[1,960]</v>
      </c>
    </row>
    <row r="92" spans="1:51" s="47" customFormat="1" x14ac:dyDescent="0.2">
      <c r="A92" s="47">
        <v>3</v>
      </c>
      <c r="B92" s="47" t="s">
        <v>1033</v>
      </c>
      <c r="C92" s="47">
        <v>35</v>
      </c>
      <c r="D92" s="34" t="s">
        <v>1140</v>
      </c>
      <c r="E92" s="47" t="s">
        <v>1016</v>
      </c>
      <c r="F92" s="47">
        <v>3</v>
      </c>
      <c r="G92" s="47" t="s">
        <v>803</v>
      </c>
      <c r="H92" s="47" t="s">
        <v>804</v>
      </c>
      <c r="I92" s="47" t="s">
        <v>805</v>
      </c>
      <c r="J92" s="17">
        <v>1</v>
      </c>
      <c r="K92" s="17">
        <v>0.8</v>
      </c>
      <c r="L92" s="17">
        <v>0</v>
      </c>
      <c r="M92" s="35">
        <f>(IF(G92="",挂机玩法规划!$L$2,VLOOKUP(G92,物品id!A:D,4,FALSE)*IF(J92=0,1,4))*IF(J92=0,1,J92)+IF(H92="",挂机玩法规划!$L$2,VLOOKUP(H92,物品id!A:D,4,FALSE)*IF(K92=0,1,4))*IF(K92=0,1,K92)+IF(I92="",挂机玩法规划!$L$2,VLOOKUP(I92,物品id!A:D,4,FALSE)*IF(L92=0,1,4))*IF(L92=0,1,L92))/O92</f>
        <v>0.62</v>
      </c>
      <c r="N92" s="44">
        <f>IF(G92="",挂机玩法规划!$L$2,VLOOKUP(G92,物品id!A:D,4,FALSE)*4)+IF(H92="",挂机玩法规划!$L$2,VLOOKUP(H92,物品id!A:D,4,FALSE)*4)+IF(I92="",挂机玩法规划!$L$2,VLOOKUP(I92,物品id!A:D,4,FALSE)*4)</f>
        <v>200</v>
      </c>
      <c r="O92" s="48">
        <v>200</v>
      </c>
      <c r="P92" s="47">
        <v>3</v>
      </c>
      <c r="Q92" s="47">
        <v>4</v>
      </c>
      <c r="R92" s="47">
        <v>3</v>
      </c>
      <c r="S92" s="47">
        <v>480</v>
      </c>
      <c r="T92" s="47" t="s">
        <v>835</v>
      </c>
      <c r="U92" s="47">
        <v>480</v>
      </c>
      <c r="V92" s="47" t="s">
        <v>841</v>
      </c>
      <c r="W92" s="47" t="s">
        <v>200</v>
      </c>
      <c r="X92" s="47">
        <v>2</v>
      </c>
      <c r="Y92" s="47">
        <f>U92*挂机玩法规划!$O$4*VLOOKUP(E92,挂机玩法规划!$G$2:$I$17,3,FALSE)</f>
        <v>1920</v>
      </c>
      <c r="Z92" s="17">
        <f t="shared" si="187"/>
        <v>1.24</v>
      </c>
      <c r="AA92" s="17">
        <f t="shared" si="188"/>
        <v>1190.4000000000001</v>
      </c>
      <c r="AB92" s="17">
        <f>(VLOOKUP(V92,物品id!A:E,5,FALSE)*挂机玩法填表!Z92+VLOOKUP(挂机玩法填表!W92,物品id!A:E,5,FALSE)*挂机玩法填表!AA92)/(U92/60)</f>
        <v>18.773600000000002</v>
      </c>
      <c r="AD92" s="47" t="str">
        <f>IF(G92="","",VLOOKUP(G92,物品id!$A:$B,2,FALSE)&amp;",")</f>
        <v>1111,</v>
      </c>
      <c r="AE92" s="47" t="str">
        <f>IF(H92="","",VLOOKUP(H92,物品id!$A:$B,2,FALSE)&amp;",")</f>
        <v>1211,</v>
      </c>
      <c r="AF92" s="47" t="str">
        <f>IF(I92="","",VLOOKUP(I92,物品id!$A:$B,2,FALSE)&amp;",")</f>
        <v>1221,</v>
      </c>
      <c r="AG92" s="47" t="str">
        <f t="shared" si="239"/>
        <v>1111,1211,1221,</v>
      </c>
      <c r="AH92" s="47" t="str">
        <f t="shared" si="240"/>
        <v>[1111,1211,1221]</v>
      </c>
      <c r="AI92" s="17" t="str">
        <f t="shared" si="181"/>
        <v>3,</v>
      </c>
      <c r="AJ92" s="17" t="str">
        <f t="shared" si="182"/>
        <v>4,</v>
      </c>
      <c r="AK92" s="17" t="str">
        <f t="shared" si="183"/>
        <v>3,</v>
      </c>
      <c r="AL92" s="47" t="str">
        <f t="shared" si="241"/>
        <v>3,4,3,</v>
      </c>
      <c r="AM92" s="47" t="str">
        <f t="shared" si="242"/>
        <v>[3,4,3]</v>
      </c>
      <c r="AN92" s="47" t="str">
        <f>VLOOKUP(T92,物品id!$A:$B,2,FALSE)&amp;","</f>
        <v>102,</v>
      </c>
      <c r="AO92" s="17" t="str">
        <f t="shared" si="193"/>
        <v>[102]</v>
      </c>
      <c r="AP92" s="47" t="str">
        <f t="shared" si="184"/>
        <v>480,</v>
      </c>
      <c r="AQ92" s="17" t="str">
        <f t="shared" si="194"/>
        <v>[480]</v>
      </c>
      <c r="AR92" s="47" t="str">
        <f>IF(V92="","",VLOOKUP(V92,物品id!$A:$B,2,FALSE)&amp;",")</f>
        <v>20037,</v>
      </c>
      <c r="AS92" s="47" t="str">
        <f>IF(W92="","",VLOOKUP(W92,物品id!$A:$B,2,FALSE)&amp;",")</f>
        <v>102,</v>
      </c>
      <c r="AT92" s="47" t="str">
        <f t="shared" si="243"/>
        <v>20037,102,</v>
      </c>
      <c r="AU92" s="47" t="str">
        <f t="shared" si="244"/>
        <v>[20037,102]</v>
      </c>
      <c r="AV92" s="47" t="str">
        <f t="shared" si="185"/>
        <v>2,</v>
      </c>
      <c r="AW92" s="47" t="str">
        <f t="shared" si="186"/>
        <v>1920,</v>
      </c>
      <c r="AX92" s="47" t="str">
        <f t="shared" si="245"/>
        <v>2,1920,</v>
      </c>
      <c r="AY92" s="47" t="str">
        <f t="shared" si="246"/>
        <v>[2,1920]</v>
      </c>
    </row>
    <row r="93" spans="1:51" s="47" customFormat="1" x14ac:dyDescent="0.2">
      <c r="A93" s="47">
        <v>3</v>
      </c>
      <c r="B93" s="47" t="s">
        <v>1033</v>
      </c>
      <c r="C93" s="47">
        <v>35</v>
      </c>
      <c r="D93" s="34" t="s">
        <v>1140</v>
      </c>
      <c r="E93" s="47" t="s">
        <v>1016</v>
      </c>
      <c r="F93" s="47">
        <v>3</v>
      </c>
      <c r="G93" s="47" t="s">
        <v>814</v>
      </c>
      <c r="H93" s="47" t="s">
        <v>815</v>
      </c>
      <c r="I93" s="47" t="s">
        <v>816</v>
      </c>
      <c r="J93" s="17">
        <v>1</v>
      </c>
      <c r="K93" s="17">
        <v>0.8</v>
      </c>
      <c r="L93" s="17">
        <v>0</v>
      </c>
      <c r="M93" s="35">
        <f>(IF(G93="",挂机玩法规划!$L$2,VLOOKUP(G93,物品id!A:D,4,FALSE)*IF(J93=0,1,4))*IF(J93=0,1,J93)+IF(H93="",挂机玩法规划!$L$2,VLOOKUP(H93,物品id!A:D,4,FALSE)*IF(K93=0,1,4))*IF(K93=0,1,K93)+IF(I93="",挂机玩法规划!$L$2,VLOOKUP(I93,物品id!A:D,4,FALSE)*IF(L93=0,1,4))*IF(L93=0,1,L93))/O93</f>
        <v>0.62</v>
      </c>
      <c r="N93" s="44">
        <f>IF(G93="",挂机玩法规划!$L$2,VLOOKUP(G93,物品id!A:D,4,FALSE)*4)+IF(H93="",挂机玩法规划!$L$2,VLOOKUP(H93,物品id!A:D,4,FALSE)*4)+IF(I93="",挂机玩法规划!$L$2,VLOOKUP(I93,物品id!A:D,4,FALSE)*4)</f>
        <v>200</v>
      </c>
      <c r="O93" s="48">
        <v>200</v>
      </c>
      <c r="P93" s="47">
        <v>3</v>
      </c>
      <c r="Q93" s="47">
        <v>4</v>
      </c>
      <c r="R93" s="47">
        <v>3</v>
      </c>
      <c r="S93" s="47">
        <v>480</v>
      </c>
      <c r="T93" s="47" t="s">
        <v>835</v>
      </c>
      <c r="U93" s="47">
        <v>480</v>
      </c>
      <c r="V93" s="47" t="s">
        <v>841</v>
      </c>
      <c r="W93" s="47" t="s">
        <v>200</v>
      </c>
      <c r="X93" s="47">
        <v>2</v>
      </c>
      <c r="Y93" s="47">
        <f>U93*挂机玩法规划!$O$4*VLOOKUP(E93,挂机玩法规划!$G$2:$I$17,3,FALSE)</f>
        <v>1920</v>
      </c>
      <c r="Z93" s="17">
        <f t="shared" si="187"/>
        <v>1.24</v>
      </c>
      <c r="AA93" s="17">
        <f t="shared" si="188"/>
        <v>1190.4000000000001</v>
      </c>
      <c r="AB93" s="17">
        <f>(VLOOKUP(V93,物品id!A:E,5,FALSE)*挂机玩法填表!Z93+VLOOKUP(挂机玩法填表!W93,物品id!A:E,5,FALSE)*挂机玩法填表!AA93)/(U93/60)</f>
        <v>18.773600000000002</v>
      </c>
      <c r="AD93" s="47" t="str">
        <f>IF(G93="","",VLOOKUP(G93,物品id!$A:$B,2,FALSE)&amp;",")</f>
        <v>2111,</v>
      </c>
      <c r="AE93" s="47" t="str">
        <f>IF(H93="","",VLOOKUP(H93,物品id!$A:$B,2,FALSE)&amp;",")</f>
        <v>2211,</v>
      </c>
      <c r="AF93" s="47" t="str">
        <f>IF(I93="","",VLOOKUP(I93,物品id!$A:$B,2,FALSE)&amp;",")</f>
        <v>2221,</v>
      </c>
      <c r="AG93" s="47" t="str">
        <f t="shared" si="239"/>
        <v>2111,2211,2221,</v>
      </c>
      <c r="AH93" s="47" t="str">
        <f t="shared" si="240"/>
        <v>[2111,2211,2221]</v>
      </c>
      <c r="AI93" s="17" t="str">
        <f t="shared" si="181"/>
        <v>3,</v>
      </c>
      <c r="AJ93" s="17" t="str">
        <f t="shared" si="182"/>
        <v>4,</v>
      </c>
      <c r="AK93" s="17" t="str">
        <f t="shared" si="183"/>
        <v>3,</v>
      </c>
      <c r="AL93" s="47" t="str">
        <f t="shared" si="241"/>
        <v>3,4,3,</v>
      </c>
      <c r="AM93" s="47" t="str">
        <f t="shared" si="242"/>
        <v>[3,4,3]</v>
      </c>
      <c r="AN93" s="47" t="str">
        <f>VLOOKUP(T93,物品id!$A:$B,2,FALSE)&amp;","</f>
        <v>102,</v>
      </c>
      <c r="AO93" s="17" t="str">
        <f t="shared" si="193"/>
        <v>[102]</v>
      </c>
      <c r="AP93" s="47" t="str">
        <f t="shared" si="184"/>
        <v>480,</v>
      </c>
      <c r="AQ93" s="17" t="str">
        <f t="shared" si="194"/>
        <v>[480]</v>
      </c>
      <c r="AR93" s="47" t="str">
        <f>IF(V93="","",VLOOKUP(V93,物品id!$A:$B,2,FALSE)&amp;",")</f>
        <v>20037,</v>
      </c>
      <c r="AS93" s="47" t="str">
        <f>IF(W93="","",VLOOKUP(W93,物品id!$A:$B,2,FALSE)&amp;",")</f>
        <v>102,</v>
      </c>
      <c r="AT93" s="47" t="str">
        <f t="shared" si="243"/>
        <v>20037,102,</v>
      </c>
      <c r="AU93" s="47" t="str">
        <f t="shared" si="244"/>
        <v>[20037,102]</v>
      </c>
      <c r="AV93" s="47" t="str">
        <f t="shared" si="185"/>
        <v>2,</v>
      </c>
      <c r="AW93" s="47" t="str">
        <f t="shared" si="186"/>
        <v>1920,</v>
      </c>
      <c r="AX93" s="47" t="str">
        <f t="shared" si="245"/>
        <v>2,1920,</v>
      </c>
      <c r="AY93" s="47" t="str">
        <f t="shared" si="246"/>
        <v>[2,1920]</v>
      </c>
    </row>
    <row r="94" spans="1:51" s="47" customFormat="1" x14ac:dyDescent="0.2">
      <c r="A94" s="47">
        <v>3</v>
      </c>
      <c r="B94" s="47" t="s">
        <v>1033</v>
      </c>
      <c r="C94" s="47">
        <v>35</v>
      </c>
      <c r="D94" s="34" t="s">
        <v>1140</v>
      </c>
      <c r="E94" s="47" t="s">
        <v>1016</v>
      </c>
      <c r="F94" s="47">
        <v>3</v>
      </c>
      <c r="G94" s="47" t="s">
        <v>824</v>
      </c>
      <c r="H94" s="47" t="s">
        <v>825</v>
      </c>
      <c r="I94" s="47" t="s">
        <v>826</v>
      </c>
      <c r="J94" s="17">
        <v>1</v>
      </c>
      <c r="K94" s="17">
        <v>0.8</v>
      </c>
      <c r="L94" s="17">
        <v>0</v>
      </c>
      <c r="M94" s="35">
        <f>(IF(G94="",挂机玩法规划!$L$2,VLOOKUP(G94,物品id!A:D,4,FALSE)*IF(J94=0,1,4))*IF(J94=0,1,J94)+IF(H94="",挂机玩法规划!$L$2,VLOOKUP(H94,物品id!A:D,4,FALSE)*IF(K94=0,1,4))*IF(K94=0,1,K94)+IF(I94="",挂机玩法规划!$L$2,VLOOKUP(I94,物品id!A:D,4,FALSE)*IF(L94=0,1,4))*IF(L94=0,1,L94))/O94</f>
        <v>0.62</v>
      </c>
      <c r="N94" s="44">
        <f>IF(G94="",挂机玩法规划!$L$2,VLOOKUP(G94,物品id!A:D,4,FALSE)*4)+IF(H94="",挂机玩法规划!$L$2,VLOOKUP(H94,物品id!A:D,4,FALSE)*4)+IF(I94="",挂机玩法规划!$L$2,VLOOKUP(I94,物品id!A:D,4,FALSE)*4)</f>
        <v>200</v>
      </c>
      <c r="O94" s="48">
        <v>200</v>
      </c>
      <c r="P94" s="47">
        <v>3</v>
      </c>
      <c r="Q94" s="47">
        <v>4</v>
      </c>
      <c r="R94" s="47">
        <v>3</v>
      </c>
      <c r="S94" s="47">
        <v>480</v>
      </c>
      <c r="T94" s="47" t="s">
        <v>835</v>
      </c>
      <c r="U94" s="47">
        <v>480</v>
      </c>
      <c r="V94" s="47" t="s">
        <v>841</v>
      </c>
      <c r="W94" s="47" t="s">
        <v>200</v>
      </c>
      <c r="X94" s="47">
        <v>2</v>
      </c>
      <c r="Y94" s="47">
        <f>U94*挂机玩法规划!$O$4*VLOOKUP(E94,挂机玩法规划!$G$2:$I$17,3,FALSE)</f>
        <v>1920</v>
      </c>
      <c r="Z94" s="17">
        <f t="shared" si="187"/>
        <v>1.24</v>
      </c>
      <c r="AA94" s="17">
        <f t="shared" si="188"/>
        <v>1190.4000000000001</v>
      </c>
      <c r="AB94" s="17">
        <f>(VLOOKUP(V94,物品id!A:E,5,FALSE)*挂机玩法填表!Z94+VLOOKUP(挂机玩法填表!W94,物品id!A:E,5,FALSE)*挂机玩法填表!AA94)/(U94/60)</f>
        <v>18.773600000000002</v>
      </c>
      <c r="AD94" s="47" t="str">
        <f>IF(G94="","",VLOOKUP(G94,物品id!$A:$B,2,FALSE)&amp;",")</f>
        <v>3111,</v>
      </c>
      <c r="AE94" s="47" t="str">
        <f>IF(H94="","",VLOOKUP(H94,物品id!$A:$B,2,FALSE)&amp;",")</f>
        <v>3211,</v>
      </c>
      <c r="AF94" s="47" t="str">
        <f>IF(I94="","",VLOOKUP(I94,物品id!$A:$B,2,FALSE)&amp;",")</f>
        <v>3221,</v>
      </c>
      <c r="AG94" s="47" t="str">
        <f t="shared" si="239"/>
        <v>3111,3211,3221,</v>
      </c>
      <c r="AH94" s="47" t="str">
        <f t="shared" si="240"/>
        <v>[3111,3211,3221]</v>
      </c>
      <c r="AI94" s="17" t="str">
        <f t="shared" si="181"/>
        <v>3,</v>
      </c>
      <c r="AJ94" s="17" t="str">
        <f t="shared" si="182"/>
        <v>4,</v>
      </c>
      <c r="AK94" s="17" t="str">
        <f t="shared" si="183"/>
        <v>3,</v>
      </c>
      <c r="AL94" s="47" t="str">
        <f t="shared" si="241"/>
        <v>3,4,3,</v>
      </c>
      <c r="AM94" s="47" t="str">
        <f t="shared" si="242"/>
        <v>[3,4,3]</v>
      </c>
      <c r="AN94" s="47" t="str">
        <f>VLOOKUP(T94,物品id!$A:$B,2,FALSE)&amp;","</f>
        <v>102,</v>
      </c>
      <c r="AO94" s="17" t="str">
        <f t="shared" si="193"/>
        <v>[102]</v>
      </c>
      <c r="AP94" s="47" t="str">
        <f t="shared" si="184"/>
        <v>480,</v>
      </c>
      <c r="AQ94" s="17" t="str">
        <f t="shared" si="194"/>
        <v>[480]</v>
      </c>
      <c r="AR94" s="47" t="str">
        <f>IF(V94="","",VLOOKUP(V94,物品id!$A:$B,2,FALSE)&amp;",")</f>
        <v>20037,</v>
      </c>
      <c r="AS94" s="47" t="str">
        <f>IF(W94="","",VLOOKUP(W94,物品id!$A:$B,2,FALSE)&amp;",")</f>
        <v>102,</v>
      </c>
      <c r="AT94" s="47" t="str">
        <f t="shared" si="243"/>
        <v>20037,102,</v>
      </c>
      <c r="AU94" s="47" t="str">
        <f t="shared" si="244"/>
        <v>[20037,102]</v>
      </c>
      <c r="AV94" s="47" t="str">
        <f t="shared" si="185"/>
        <v>2,</v>
      </c>
      <c r="AW94" s="47" t="str">
        <f t="shared" si="186"/>
        <v>1920,</v>
      </c>
      <c r="AX94" s="47" t="str">
        <f t="shared" si="245"/>
        <v>2,1920,</v>
      </c>
      <c r="AY94" s="47" t="str">
        <f t="shared" si="246"/>
        <v>[2,1920]</v>
      </c>
    </row>
    <row r="95" spans="1:51" s="47" customFormat="1" x14ac:dyDescent="0.2">
      <c r="A95" s="47">
        <v>3</v>
      </c>
      <c r="B95" s="47" t="s">
        <v>1033</v>
      </c>
      <c r="C95" s="47">
        <v>36</v>
      </c>
      <c r="D95" s="34" t="s">
        <v>1141</v>
      </c>
      <c r="E95" s="47" t="s">
        <v>1016</v>
      </c>
      <c r="F95" s="47">
        <v>3</v>
      </c>
      <c r="G95" s="47" t="s">
        <v>805</v>
      </c>
      <c r="H95" s="47" t="s">
        <v>816</v>
      </c>
      <c r="I95" s="47" t="s">
        <v>826</v>
      </c>
      <c r="J95" s="17">
        <v>0</v>
      </c>
      <c r="K95" s="17">
        <v>0</v>
      </c>
      <c r="L95" s="17">
        <v>0</v>
      </c>
      <c r="M95" s="35">
        <f>(IF(G95="",挂机玩法规划!$L$2,VLOOKUP(G95,物品id!A:D,4,FALSE)*IF(J95=0,1,4))*IF(J95=0,1,J95)+IF(H95="",挂机玩法规划!$L$2,VLOOKUP(H95,物品id!A:D,4,FALSE)*IF(K95=0,1,4))*IF(K95=0,1,K95)+IF(I95="",挂机玩法规划!$L$2,VLOOKUP(I95,物品id!A:D,4,FALSE)*IF(L95=0,1,4))*IF(L95=0,1,L95))/O95</f>
        <v>0.25</v>
      </c>
      <c r="N95" s="44">
        <f>IF(G95="",挂机玩法规划!$L$2,VLOOKUP(G95,物品id!A:D,4,FALSE)*4)+IF(H95="",挂机玩法规划!$L$2,VLOOKUP(H95,物品id!A:D,4,FALSE)*4)+IF(I95="",挂机玩法规划!$L$2,VLOOKUP(I95,物品id!A:D,4,FALSE)*4)</f>
        <v>240</v>
      </c>
      <c r="O95" s="48">
        <v>240</v>
      </c>
      <c r="P95" s="47">
        <v>3</v>
      </c>
      <c r="Q95" s="47">
        <v>4</v>
      </c>
      <c r="R95" s="47">
        <v>3</v>
      </c>
      <c r="S95" s="47">
        <v>720</v>
      </c>
      <c r="T95" s="47" t="s">
        <v>835</v>
      </c>
      <c r="U95" s="47">
        <v>720</v>
      </c>
      <c r="V95" s="47" t="s">
        <v>841</v>
      </c>
      <c r="W95" s="47" t="s">
        <v>200</v>
      </c>
      <c r="X95" s="47">
        <v>3</v>
      </c>
      <c r="Y95" s="47">
        <f>U95*挂机玩法规划!$O$4*VLOOKUP(E95,挂机玩法规划!$G$2:$I$17,3,FALSE)</f>
        <v>2880</v>
      </c>
      <c r="Z95" s="17">
        <f t="shared" si="187"/>
        <v>0.75</v>
      </c>
      <c r="AA95" s="17">
        <f t="shared" si="188"/>
        <v>720</v>
      </c>
      <c r="AB95" s="17">
        <f>(VLOOKUP(V95,物品id!A:E,5,FALSE)*挂机玩法填表!Z95+VLOOKUP(挂机玩法填表!W95,物品id!A:E,5,FALSE)*挂机玩法填表!AA95)/(U95/60)</f>
        <v>7.57</v>
      </c>
      <c r="AD95" s="47" t="str">
        <f>IF(G95="","",VLOOKUP(G95,物品id!$A:$B,2,FALSE)&amp;",")</f>
        <v>1221,</v>
      </c>
      <c r="AE95" s="47" t="str">
        <f>IF(H95="","",VLOOKUP(H95,物品id!$A:$B,2,FALSE)&amp;",")</f>
        <v>2221,</v>
      </c>
      <c r="AF95" s="47" t="str">
        <f>IF(I95="","",VLOOKUP(I95,物品id!$A:$B,2,FALSE)&amp;",")</f>
        <v>3221,</v>
      </c>
      <c r="AG95" s="47" t="str">
        <f t="shared" si="239"/>
        <v>1221,2221,3221,</v>
      </c>
      <c r="AH95" s="47" t="str">
        <f t="shared" si="240"/>
        <v>[1221,2221,3221]</v>
      </c>
      <c r="AI95" s="17" t="str">
        <f t="shared" si="181"/>
        <v>3,</v>
      </c>
      <c r="AJ95" s="17" t="str">
        <f t="shared" si="182"/>
        <v>4,</v>
      </c>
      <c r="AK95" s="17" t="str">
        <f t="shared" si="183"/>
        <v>3,</v>
      </c>
      <c r="AL95" s="47" t="str">
        <f t="shared" si="241"/>
        <v>3,4,3,</v>
      </c>
      <c r="AM95" s="47" t="str">
        <f t="shared" si="242"/>
        <v>[3,4,3]</v>
      </c>
      <c r="AN95" s="47" t="str">
        <f>VLOOKUP(T95,物品id!$A:$B,2,FALSE)&amp;","</f>
        <v>102,</v>
      </c>
      <c r="AO95" s="17" t="str">
        <f t="shared" si="193"/>
        <v>[102]</v>
      </c>
      <c r="AP95" s="47" t="str">
        <f t="shared" si="184"/>
        <v>720,</v>
      </c>
      <c r="AQ95" s="17" t="str">
        <f t="shared" si="194"/>
        <v>[720]</v>
      </c>
      <c r="AR95" s="47" t="str">
        <f>IF(V95="","",VLOOKUP(V95,物品id!$A:$B,2,FALSE)&amp;",")</f>
        <v>20037,</v>
      </c>
      <c r="AS95" s="47" t="str">
        <f>IF(W95="","",VLOOKUP(W95,物品id!$A:$B,2,FALSE)&amp;",")</f>
        <v>102,</v>
      </c>
      <c r="AT95" s="47" t="str">
        <f t="shared" si="243"/>
        <v>20037,102,</v>
      </c>
      <c r="AU95" s="47" t="str">
        <f t="shared" si="244"/>
        <v>[20037,102]</v>
      </c>
      <c r="AV95" s="47" t="str">
        <f t="shared" si="185"/>
        <v>3,</v>
      </c>
      <c r="AW95" s="47" t="str">
        <f t="shared" si="186"/>
        <v>2880,</v>
      </c>
      <c r="AX95" s="47" t="str">
        <f t="shared" si="245"/>
        <v>3,2880,</v>
      </c>
      <c r="AY95" s="47" t="str">
        <f t="shared" si="246"/>
        <v>[3,2880]</v>
      </c>
    </row>
    <row r="96" spans="1:51" s="47" customFormat="1" x14ac:dyDescent="0.2">
      <c r="A96" s="47">
        <v>4</v>
      </c>
      <c r="B96" s="47" t="s">
        <v>1033</v>
      </c>
      <c r="C96" s="47">
        <v>37</v>
      </c>
      <c r="D96" s="34" t="s">
        <v>1142</v>
      </c>
      <c r="E96" s="47" t="s">
        <v>135</v>
      </c>
      <c r="F96" s="47">
        <v>3</v>
      </c>
      <c r="G96" s="47" t="s">
        <v>803</v>
      </c>
      <c r="H96" s="47" t="s">
        <v>804</v>
      </c>
      <c r="I96" s="47" t="s">
        <v>806</v>
      </c>
      <c r="J96" s="17">
        <v>1</v>
      </c>
      <c r="K96" s="17">
        <v>0.8</v>
      </c>
      <c r="L96" s="17">
        <v>0.6</v>
      </c>
      <c r="M96" s="35">
        <f>(IF(G96="",挂机玩法规划!$L$2,VLOOKUP(G96,物品id!A:D,4,FALSE)*IF(J96=0,1,4))*IF(J96=0,1,J96)+IF(H96="",挂机玩法规划!$L$2,VLOOKUP(H96,物品id!A:D,4,FALSE)*IF(K96=0,1,4))*IF(K96=0,1,K96)+IF(I96="",挂机玩法规划!$L$2,VLOOKUP(I96,物品id!A:D,4,FALSE)*IF(L96=0,1,4))*IF(L96=0,1,L96))/O96</f>
        <v>0.73333333333333328</v>
      </c>
      <c r="N96" s="44">
        <f>IF(G96="",挂机玩法规划!$L$2,VLOOKUP(G96,物品id!A:D,4,FALSE)*4)+IF(H96="",挂机玩法规划!$L$2,VLOOKUP(H96,物品id!A:D,4,FALSE)*4)+IF(I96="",挂机玩法规划!$L$2,VLOOKUP(I96,物品id!A:D,4,FALSE)*4)</f>
        <v>240</v>
      </c>
      <c r="O96" s="48">
        <v>240</v>
      </c>
      <c r="P96" s="47">
        <v>3</v>
      </c>
      <c r="Q96" s="47">
        <v>4</v>
      </c>
      <c r="R96" s="47">
        <v>3</v>
      </c>
      <c r="S96" s="47">
        <v>120</v>
      </c>
      <c r="T96" s="47" t="s">
        <v>835</v>
      </c>
      <c r="U96" s="47">
        <v>120</v>
      </c>
      <c r="V96" s="47" t="s">
        <v>1047</v>
      </c>
      <c r="W96" s="47" t="s">
        <v>200</v>
      </c>
      <c r="X96" s="47">
        <v>1</v>
      </c>
      <c r="Y96" s="47">
        <f>U96*挂机玩法规划!$O$4*VLOOKUP(E96,挂机玩法规划!$G$2:$I$17,3,FALSE)</f>
        <v>240</v>
      </c>
      <c r="Z96" s="17">
        <f t="shared" si="187"/>
        <v>0.73333333333333328</v>
      </c>
      <c r="AA96" s="17">
        <f t="shared" si="188"/>
        <v>176</v>
      </c>
      <c r="AB96" s="17">
        <f>(VLOOKUP(V96,物品id!A:E,5,FALSE)*挂机玩法填表!Z96+VLOOKUP(挂机玩法填表!W96,物品id!A:E,5,FALSE)*挂机玩法填表!AA96)/(U96/60)</f>
        <v>45.936</v>
      </c>
      <c r="AD96" s="47" t="str">
        <f>IF(G96="","",VLOOKUP(G96,物品id!$A:$B,2,FALSE)&amp;",")</f>
        <v>1111,</v>
      </c>
      <c r="AE96" s="47" t="str">
        <f>IF(H96="","",VLOOKUP(H96,物品id!$A:$B,2,FALSE)&amp;",")</f>
        <v>1211,</v>
      </c>
      <c r="AF96" s="47" t="str">
        <f>IF(I96="","",VLOOKUP(I96,物品id!$A:$B,2,FALSE)&amp;",")</f>
        <v>1311,</v>
      </c>
      <c r="AG96" s="47" t="str">
        <f t="shared" si="239"/>
        <v>1111,1211,1311,</v>
      </c>
      <c r="AH96" s="47" t="str">
        <f t="shared" si="240"/>
        <v>[1111,1211,1311]</v>
      </c>
      <c r="AI96" s="17" t="str">
        <f t="shared" si="181"/>
        <v>3,</v>
      </c>
      <c r="AJ96" s="17" t="str">
        <f t="shared" si="182"/>
        <v>4,</v>
      </c>
      <c r="AK96" s="17" t="str">
        <f t="shared" si="183"/>
        <v>3,</v>
      </c>
      <c r="AL96" s="47" t="str">
        <f t="shared" si="241"/>
        <v>3,4,3,</v>
      </c>
      <c r="AM96" s="47" t="str">
        <f t="shared" si="242"/>
        <v>[3,4,3]</v>
      </c>
      <c r="AN96" s="47" t="str">
        <f>VLOOKUP(T96,物品id!$A:$B,2,FALSE)&amp;","</f>
        <v>102,</v>
      </c>
      <c r="AO96" s="17" t="str">
        <f t="shared" si="193"/>
        <v>[102]</v>
      </c>
      <c r="AP96" s="47" t="str">
        <f t="shared" si="184"/>
        <v>120,</v>
      </c>
      <c r="AQ96" s="17" t="str">
        <f t="shared" si="194"/>
        <v>[120]</v>
      </c>
      <c r="AR96" s="47" t="str">
        <f>IF(V96="","",VLOOKUP(V96,物品id!$A:$B,2,FALSE)&amp;",")</f>
        <v>20033,</v>
      </c>
      <c r="AS96" s="47" t="str">
        <f>IF(W96="","",VLOOKUP(W96,物品id!$A:$B,2,FALSE)&amp;",")</f>
        <v>102,</v>
      </c>
      <c r="AT96" s="47" t="str">
        <f t="shared" si="243"/>
        <v>20033,102,</v>
      </c>
      <c r="AU96" s="47" t="str">
        <f t="shared" si="244"/>
        <v>[20033,102]</v>
      </c>
      <c r="AV96" s="47" t="str">
        <f t="shared" si="185"/>
        <v>1,</v>
      </c>
      <c r="AW96" s="47" t="str">
        <f t="shared" si="186"/>
        <v>240,</v>
      </c>
      <c r="AX96" s="47" t="str">
        <f t="shared" si="245"/>
        <v>1,240,</v>
      </c>
      <c r="AY96" s="47" t="str">
        <f t="shared" si="246"/>
        <v>[1,240]</v>
      </c>
    </row>
    <row r="97" spans="1:51" s="47" customFormat="1" x14ac:dyDescent="0.2">
      <c r="A97" s="47">
        <v>4</v>
      </c>
      <c r="B97" s="47" t="s">
        <v>1033</v>
      </c>
      <c r="C97" s="47">
        <v>37</v>
      </c>
      <c r="D97" s="34" t="s">
        <v>1142</v>
      </c>
      <c r="E97" s="47" t="s">
        <v>135</v>
      </c>
      <c r="F97" s="47">
        <v>3</v>
      </c>
      <c r="G97" s="47" t="s">
        <v>814</v>
      </c>
      <c r="H97" s="47" t="s">
        <v>815</v>
      </c>
      <c r="I97" s="47" t="s">
        <v>817</v>
      </c>
      <c r="J97" s="17">
        <v>1</v>
      </c>
      <c r="K97" s="17">
        <v>0.8</v>
      </c>
      <c r="L97" s="17">
        <v>0.6</v>
      </c>
      <c r="M97" s="35">
        <f>(IF(G97="",挂机玩法规划!$L$2,VLOOKUP(G97,物品id!A:D,4,FALSE)*IF(J97=0,1,4))*IF(J97=0,1,J97)+IF(H97="",挂机玩法规划!$L$2,VLOOKUP(H97,物品id!A:D,4,FALSE)*IF(K97=0,1,4))*IF(K97=0,1,K97)+IF(I97="",挂机玩法规划!$L$2,VLOOKUP(I97,物品id!A:D,4,FALSE)*IF(L97=0,1,4))*IF(L97=0,1,L97))/O97</f>
        <v>0.73333333333333328</v>
      </c>
      <c r="N97" s="44">
        <f>IF(G97="",挂机玩法规划!$L$2,VLOOKUP(G97,物品id!A:D,4,FALSE)*4)+IF(H97="",挂机玩法规划!$L$2,VLOOKUP(H97,物品id!A:D,4,FALSE)*4)+IF(I97="",挂机玩法规划!$L$2,VLOOKUP(I97,物品id!A:D,4,FALSE)*4)</f>
        <v>240</v>
      </c>
      <c r="O97" s="48">
        <v>240</v>
      </c>
      <c r="P97" s="47">
        <v>3</v>
      </c>
      <c r="Q97" s="47">
        <v>4</v>
      </c>
      <c r="R97" s="47">
        <v>3</v>
      </c>
      <c r="S97" s="47">
        <v>120</v>
      </c>
      <c r="T97" s="47" t="s">
        <v>835</v>
      </c>
      <c r="U97" s="47">
        <v>120</v>
      </c>
      <c r="V97" s="47" t="s">
        <v>1047</v>
      </c>
      <c r="W97" s="47" t="s">
        <v>200</v>
      </c>
      <c r="X97" s="47">
        <v>1</v>
      </c>
      <c r="Y97" s="47">
        <f>U97*挂机玩法规划!$O$4*VLOOKUP(E97,挂机玩法规划!$G$2:$I$17,3,FALSE)</f>
        <v>240</v>
      </c>
      <c r="Z97" s="17">
        <f t="shared" si="187"/>
        <v>0.73333333333333328</v>
      </c>
      <c r="AA97" s="17">
        <f t="shared" si="188"/>
        <v>176</v>
      </c>
      <c r="AB97" s="17">
        <f>(VLOOKUP(V97,物品id!A:E,5,FALSE)*挂机玩法填表!Z97+VLOOKUP(挂机玩法填表!W97,物品id!A:E,5,FALSE)*挂机玩法填表!AA97)/(U97/60)</f>
        <v>45.936</v>
      </c>
      <c r="AD97" s="47" t="str">
        <f>IF(G97="","",VLOOKUP(G97,物品id!$A:$B,2,FALSE)&amp;",")</f>
        <v>2111,</v>
      </c>
      <c r="AE97" s="47" t="str">
        <f>IF(H97="","",VLOOKUP(H97,物品id!$A:$B,2,FALSE)&amp;",")</f>
        <v>2211,</v>
      </c>
      <c r="AF97" s="47" t="str">
        <f>IF(I97="","",VLOOKUP(I97,物品id!$A:$B,2,FALSE)&amp;",")</f>
        <v>2311,</v>
      </c>
      <c r="AG97" s="47" t="str">
        <f t="shared" si="239"/>
        <v>2111,2211,2311,</v>
      </c>
      <c r="AH97" s="47" t="str">
        <f t="shared" si="240"/>
        <v>[2111,2211,2311]</v>
      </c>
      <c r="AI97" s="17" t="str">
        <f t="shared" si="181"/>
        <v>3,</v>
      </c>
      <c r="AJ97" s="17" t="str">
        <f t="shared" si="182"/>
        <v>4,</v>
      </c>
      <c r="AK97" s="17" t="str">
        <f t="shared" si="183"/>
        <v>3,</v>
      </c>
      <c r="AL97" s="47" t="str">
        <f t="shared" si="241"/>
        <v>3,4,3,</v>
      </c>
      <c r="AM97" s="47" t="str">
        <f t="shared" si="242"/>
        <v>[3,4,3]</v>
      </c>
      <c r="AN97" s="47" t="str">
        <f>VLOOKUP(T97,物品id!$A:$B,2,FALSE)&amp;","</f>
        <v>102,</v>
      </c>
      <c r="AO97" s="17" t="str">
        <f t="shared" si="193"/>
        <v>[102]</v>
      </c>
      <c r="AP97" s="47" t="str">
        <f t="shared" si="184"/>
        <v>120,</v>
      </c>
      <c r="AQ97" s="17" t="str">
        <f t="shared" si="194"/>
        <v>[120]</v>
      </c>
      <c r="AR97" s="47" t="str">
        <f>IF(V97="","",VLOOKUP(V97,物品id!$A:$B,2,FALSE)&amp;",")</f>
        <v>20033,</v>
      </c>
      <c r="AS97" s="47" t="str">
        <f>IF(W97="","",VLOOKUP(W97,物品id!$A:$B,2,FALSE)&amp;",")</f>
        <v>102,</v>
      </c>
      <c r="AT97" s="47" t="str">
        <f t="shared" si="243"/>
        <v>20033,102,</v>
      </c>
      <c r="AU97" s="47" t="str">
        <f t="shared" si="244"/>
        <v>[20033,102]</v>
      </c>
      <c r="AV97" s="47" t="str">
        <f t="shared" si="185"/>
        <v>1,</v>
      </c>
      <c r="AW97" s="47" t="str">
        <f t="shared" si="186"/>
        <v>240,</v>
      </c>
      <c r="AX97" s="47" t="str">
        <f t="shared" si="245"/>
        <v>1,240,</v>
      </c>
      <c r="AY97" s="47" t="str">
        <f t="shared" si="246"/>
        <v>[1,240]</v>
      </c>
    </row>
    <row r="98" spans="1:51" s="47" customFormat="1" x14ac:dyDescent="0.2">
      <c r="A98" s="47">
        <v>4</v>
      </c>
      <c r="B98" s="47" t="s">
        <v>1033</v>
      </c>
      <c r="C98" s="47">
        <v>37</v>
      </c>
      <c r="D98" s="34" t="s">
        <v>1142</v>
      </c>
      <c r="E98" s="47" t="s">
        <v>135</v>
      </c>
      <c r="F98" s="47">
        <v>3</v>
      </c>
      <c r="G98" s="47" t="s">
        <v>824</v>
      </c>
      <c r="H98" s="47" t="s">
        <v>825</v>
      </c>
      <c r="I98" s="47" t="s">
        <v>827</v>
      </c>
      <c r="J98" s="17">
        <v>1</v>
      </c>
      <c r="K98" s="17">
        <v>0.8</v>
      </c>
      <c r="L98" s="17">
        <v>0.6</v>
      </c>
      <c r="M98" s="35">
        <f>(IF(G98="",挂机玩法规划!$L$2,VLOOKUP(G98,物品id!A:D,4,FALSE)*IF(J98=0,1,4))*IF(J98=0,1,J98)+IF(H98="",挂机玩法规划!$L$2,VLOOKUP(H98,物品id!A:D,4,FALSE)*IF(K98=0,1,4))*IF(K98=0,1,K98)+IF(I98="",挂机玩法规划!$L$2,VLOOKUP(I98,物品id!A:D,4,FALSE)*IF(L98=0,1,4))*IF(L98=0,1,L98))/O98</f>
        <v>0.73333333333333328</v>
      </c>
      <c r="N98" s="44">
        <f>IF(G98="",挂机玩法规划!$L$2,VLOOKUP(G98,物品id!A:D,4,FALSE)*4)+IF(H98="",挂机玩法规划!$L$2,VLOOKUP(H98,物品id!A:D,4,FALSE)*4)+IF(I98="",挂机玩法规划!$L$2,VLOOKUP(I98,物品id!A:D,4,FALSE)*4)</f>
        <v>240</v>
      </c>
      <c r="O98" s="48">
        <v>240</v>
      </c>
      <c r="P98" s="47">
        <v>3</v>
      </c>
      <c r="Q98" s="47">
        <v>4</v>
      </c>
      <c r="R98" s="47">
        <v>3</v>
      </c>
      <c r="S98" s="47">
        <v>120</v>
      </c>
      <c r="T98" s="47" t="s">
        <v>835</v>
      </c>
      <c r="U98" s="47">
        <v>120</v>
      </c>
      <c r="V98" s="47" t="s">
        <v>1047</v>
      </c>
      <c r="W98" s="47" t="s">
        <v>200</v>
      </c>
      <c r="X98" s="47">
        <v>1</v>
      </c>
      <c r="Y98" s="47">
        <f>U98*挂机玩法规划!$O$4*VLOOKUP(E98,挂机玩法规划!$G$2:$I$17,3,FALSE)</f>
        <v>240</v>
      </c>
      <c r="Z98" s="17">
        <f t="shared" si="187"/>
        <v>0.73333333333333328</v>
      </c>
      <c r="AA98" s="17">
        <f t="shared" si="188"/>
        <v>176</v>
      </c>
      <c r="AB98" s="17">
        <f>(VLOOKUP(V98,物品id!A:E,5,FALSE)*挂机玩法填表!Z98+VLOOKUP(挂机玩法填表!W98,物品id!A:E,5,FALSE)*挂机玩法填表!AA98)/(U98/60)</f>
        <v>45.936</v>
      </c>
      <c r="AD98" s="47" t="str">
        <f>IF(G98="","",VLOOKUP(G98,物品id!$A:$B,2,FALSE)&amp;",")</f>
        <v>3111,</v>
      </c>
      <c r="AE98" s="47" t="str">
        <f>IF(H98="","",VLOOKUP(H98,物品id!$A:$B,2,FALSE)&amp;",")</f>
        <v>3211,</v>
      </c>
      <c r="AF98" s="47" t="str">
        <f>IF(I98="","",VLOOKUP(I98,物品id!$A:$B,2,FALSE)&amp;",")</f>
        <v>3311,</v>
      </c>
      <c r="AG98" s="47" t="str">
        <f t="shared" si="239"/>
        <v>3111,3211,3311,</v>
      </c>
      <c r="AH98" s="47" t="str">
        <f t="shared" si="240"/>
        <v>[3111,3211,3311]</v>
      </c>
      <c r="AI98" s="17" t="str">
        <f t="shared" ref="AI98:AI129" si="247">IF(P98="","",P98&amp;",")</f>
        <v>3,</v>
      </c>
      <c r="AJ98" s="17" t="str">
        <f t="shared" ref="AJ98:AJ129" si="248">IF(Q98="","",Q98&amp;",")</f>
        <v>4,</v>
      </c>
      <c r="AK98" s="17" t="str">
        <f t="shared" ref="AK98:AK129" si="249">IF(R98="","",R98&amp;",")</f>
        <v>3,</v>
      </c>
      <c r="AL98" s="47" t="str">
        <f t="shared" si="241"/>
        <v>3,4,3,</v>
      </c>
      <c r="AM98" s="47" t="str">
        <f t="shared" si="242"/>
        <v>[3,4,3]</v>
      </c>
      <c r="AN98" s="47" t="str">
        <f>VLOOKUP(T98,物品id!$A:$B,2,FALSE)&amp;","</f>
        <v>102,</v>
      </c>
      <c r="AO98" s="17" t="str">
        <f t="shared" si="193"/>
        <v>[102]</v>
      </c>
      <c r="AP98" s="47" t="str">
        <f t="shared" si="184"/>
        <v>120,</v>
      </c>
      <c r="AQ98" s="17" t="str">
        <f t="shared" si="194"/>
        <v>[120]</v>
      </c>
      <c r="AR98" s="47" t="str">
        <f>IF(V98="","",VLOOKUP(V98,物品id!$A:$B,2,FALSE)&amp;",")</f>
        <v>20033,</v>
      </c>
      <c r="AS98" s="47" t="str">
        <f>IF(W98="","",VLOOKUP(W98,物品id!$A:$B,2,FALSE)&amp;",")</f>
        <v>102,</v>
      </c>
      <c r="AT98" s="47" t="str">
        <f t="shared" si="243"/>
        <v>20033,102,</v>
      </c>
      <c r="AU98" s="47" t="str">
        <f t="shared" si="244"/>
        <v>[20033,102]</v>
      </c>
      <c r="AV98" s="47" t="str">
        <f t="shared" si="185"/>
        <v>1,</v>
      </c>
      <c r="AW98" s="47" t="str">
        <f t="shared" si="186"/>
        <v>240,</v>
      </c>
      <c r="AX98" s="47" t="str">
        <f t="shared" si="245"/>
        <v>1,240,</v>
      </c>
      <c r="AY98" s="47" t="str">
        <f t="shared" si="246"/>
        <v>[1,240]</v>
      </c>
    </row>
    <row r="99" spans="1:51" s="47" customFormat="1" x14ac:dyDescent="0.2">
      <c r="A99" s="47">
        <v>4</v>
      </c>
      <c r="B99" s="47" t="s">
        <v>1033</v>
      </c>
      <c r="C99" s="47">
        <v>38</v>
      </c>
      <c r="D99" s="34" t="s">
        <v>1143</v>
      </c>
      <c r="E99" s="47" t="s">
        <v>135</v>
      </c>
      <c r="F99" s="47">
        <v>3</v>
      </c>
      <c r="G99" s="47" t="s">
        <v>803</v>
      </c>
      <c r="H99" s="47" t="s">
        <v>804</v>
      </c>
      <c r="I99" s="47" t="s">
        <v>806</v>
      </c>
      <c r="J99" s="17">
        <v>1</v>
      </c>
      <c r="K99" s="17">
        <v>0.8</v>
      </c>
      <c r="L99" s="17">
        <v>0.6</v>
      </c>
      <c r="M99" s="35">
        <f>(IF(G99="",挂机玩法规划!$L$2,VLOOKUP(G99,物品id!A:D,4,FALSE)*IF(J99=0,1,4))*IF(J99=0,1,J99)+IF(H99="",挂机玩法规划!$L$2,VLOOKUP(H99,物品id!A:D,4,FALSE)*IF(K99=0,1,4))*IF(K99=0,1,K99)+IF(I99="",挂机玩法规划!$L$2,VLOOKUP(I99,物品id!A:D,4,FALSE)*IF(L99=0,1,4))*IF(L99=0,1,L99))/O99</f>
        <v>0.73333333333333328</v>
      </c>
      <c r="N99" s="44">
        <f>IF(G99="",挂机玩法规划!$L$2,VLOOKUP(G99,物品id!A:D,4,FALSE)*4)+IF(H99="",挂机玩法规划!$L$2,VLOOKUP(H99,物品id!A:D,4,FALSE)*4)+IF(I99="",挂机玩法规划!$L$2,VLOOKUP(I99,物品id!A:D,4,FALSE)*4)</f>
        <v>240</v>
      </c>
      <c r="O99" s="48">
        <v>240</v>
      </c>
      <c r="P99" s="47">
        <v>3</v>
      </c>
      <c r="Q99" s="47">
        <v>4</v>
      </c>
      <c r="R99" s="47">
        <v>3</v>
      </c>
      <c r="S99" s="47">
        <v>240</v>
      </c>
      <c r="T99" s="47" t="s">
        <v>835</v>
      </c>
      <c r="U99" s="47">
        <v>240</v>
      </c>
      <c r="V99" s="47" t="s">
        <v>837</v>
      </c>
      <c r="W99" s="47" t="s">
        <v>200</v>
      </c>
      <c r="X99" s="47">
        <v>2</v>
      </c>
      <c r="Y99" s="47">
        <f>U99*挂机玩法规划!$O$4*VLOOKUP(E99,挂机玩法规划!$G$2:$I$17,3,FALSE)</f>
        <v>480</v>
      </c>
      <c r="Z99" s="17">
        <f t="shared" si="187"/>
        <v>1.4666666666666666</v>
      </c>
      <c r="AA99" s="17">
        <f t="shared" si="188"/>
        <v>352</v>
      </c>
      <c r="AB99" s="17">
        <f>(VLOOKUP(V99,物品id!A:E,5,FALSE)*挂机玩法填表!Z99+VLOOKUP(挂机玩法填表!W99,物品id!A:E,5,FALSE)*挂机玩法填表!AA99)/(U99/60)</f>
        <v>45.936</v>
      </c>
      <c r="AD99" s="47" t="str">
        <f>IF(G99="","",VLOOKUP(G99,物品id!$A:$B,2,FALSE)&amp;",")</f>
        <v>1111,</v>
      </c>
      <c r="AE99" s="47" t="str">
        <f>IF(H99="","",VLOOKUP(H99,物品id!$A:$B,2,FALSE)&amp;",")</f>
        <v>1211,</v>
      </c>
      <c r="AF99" s="47" t="str">
        <f>IF(I99="","",VLOOKUP(I99,物品id!$A:$B,2,FALSE)&amp;",")</f>
        <v>1311,</v>
      </c>
      <c r="AG99" s="47" t="str">
        <f t="shared" si="239"/>
        <v>1111,1211,1311,</v>
      </c>
      <c r="AH99" s="47" t="str">
        <f t="shared" si="240"/>
        <v>[1111,1211,1311]</v>
      </c>
      <c r="AI99" s="17" t="str">
        <f t="shared" si="247"/>
        <v>3,</v>
      </c>
      <c r="AJ99" s="17" t="str">
        <f t="shared" si="248"/>
        <v>4,</v>
      </c>
      <c r="AK99" s="17" t="str">
        <f t="shared" si="249"/>
        <v>3,</v>
      </c>
      <c r="AL99" s="47" t="str">
        <f t="shared" si="241"/>
        <v>3,4,3,</v>
      </c>
      <c r="AM99" s="47" t="str">
        <f t="shared" si="242"/>
        <v>[3,4,3]</v>
      </c>
      <c r="AN99" s="47" t="str">
        <f>VLOOKUP(T99,物品id!$A:$B,2,FALSE)&amp;","</f>
        <v>102,</v>
      </c>
      <c r="AO99" s="17" t="str">
        <f t="shared" si="193"/>
        <v>[102]</v>
      </c>
      <c r="AP99" s="47" t="str">
        <f t="shared" si="184"/>
        <v>240,</v>
      </c>
      <c r="AQ99" s="17" t="str">
        <f t="shared" si="194"/>
        <v>[240]</v>
      </c>
      <c r="AR99" s="47" t="str">
        <f>IF(V99="","",VLOOKUP(V99,物品id!$A:$B,2,FALSE)&amp;",")</f>
        <v>20033,</v>
      </c>
      <c r="AS99" s="47" t="str">
        <f>IF(W99="","",VLOOKUP(W99,物品id!$A:$B,2,FALSE)&amp;",")</f>
        <v>102,</v>
      </c>
      <c r="AT99" s="47" t="str">
        <f t="shared" si="243"/>
        <v>20033,102,</v>
      </c>
      <c r="AU99" s="47" t="str">
        <f t="shared" si="244"/>
        <v>[20033,102]</v>
      </c>
      <c r="AV99" s="47" t="str">
        <f t="shared" si="185"/>
        <v>2,</v>
      </c>
      <c r="AW99" s="47" t="str">
        <f t="shared" si="186"/>
        <v>480,</v>
      </c>
      <c r="AX99" s="47" t="str">
        <f t="shared" si="245"/>
        <v>2,480,</v>
      </c>
      <c r="AY99" s="47" t="str">
        <f t="shared" si="246"/>
        <v>[2,480]</v>
      </c>
    </row>
    <row r="100" spans="1:51" s="47" customFormat="1" x14ac:dyDescent="0.2">
      <c r="A100" s="47">
        <v>4</v>
      </c>
      <c r="B100" s="47" t="s">
        <v>1033</v>
      </c>
      <c r="C100" s="47">
        <v>38</v>
      </c>
      <c r="D100" s="34" t="s">
        <v>1143</v>
      </c>
      <c r="E100" s="47" t="s">
        <v>135</v>
      </c>
      <c r="F100" s="47">
        <v>3</v>
      </c>
      <c r="G100" s="47" t="s">
        <v>814</v>
      </c>
      <c r="H100" s="47" t="s">
        <v>815</v>
      </c>
      <c r="I100" s="47" t="s">
        <v>817</v>
      </c>
      <c r="J100" s="17">
        <v>1</v>
      </c>
      <c r="K100" s="17">
        <v>0.8</v>
      </c>
      <c r="L100" s="17">
        <v>0.6</v>
      </c>
      <c r="M100" s="35">
        <f>(IF(G100="",挂机玩法规划!$L$2,VLOOKUP(G100,物品id!A:D,4,FALSE)*IF(J100=0,1,4))*IF(J100=0,1,J100)+IF(H100="",挂机玩法规划!$L$2,VLOOKUP(H100,物品id!A:D,4,FALSE)*IF(K100=0,1,4))*IF(K100=0,1,K100)+IF(I100="",挂机玩法规划!$L$2,VLOOKUP(I100,物品id!A:D,4,FALSE)*IF(L100=0,1,4))*IF(L100=0,1,L100))/O100</f>
        <v>0.73333333333333328</v>
      </c>
      <c r="N100" s="44">
        <f>IF(G100="",挂机玩法规划!$L$2,VLOOKUP(G100,物品id!A:D,4,FALSE)*4)+IF(H100="",挂机玩法规划!$L$2,VLOOKUP(H100,物品id!A:D,4,FALSE)*4)+IF(I100="",挂机玩法规划!$L$2,VLOOKUP(I100,物品id!A:D,4,FALSE)*4)</f>
        <v>240</v>
      </c>
      <c r="O100" s="48">
        <v>240</v>
      </c>
      <c r="P100" s="47">
        <v>3</v>
      </c>
      <c r="Q100" s="47">
        <v>4</v>
      </c>
      <c r="R100" s="47">
        <v>3</v>
      </c>
      <c r="S100" s="47">
        <v>240</v>
      </c>
      <c r="T100" s="47" t="s">
        <v>835</v>
      </c>
      <c r="U100" s="47">
        <v>240</v>
      </c>
      <c r="V100" s="47" t="s">
        <v>837</v>
      </c>
      <c r="W100" s="47" t="s">
        <v>200</v>
      </c>
      <c r="X100" s="47">
        <v>2</v>
      </c>
      <c r="Y100" s="47">
        <f>U100*挂机玩法规划!$O$4*VLOOKUP(E100,挂机玩法规划!$G$2:$I$17,3,FALSE)</f>
        <v>480</v>
      </c>
      <c r="Z100" s="17">
        <f t="shared" si="187"/>
        <v>1.4666666666666666</v>
      </c>
      <c r="AA100" s="17">
        <f t="shared" si="188"/>
        <v>352</v>
      </c>
      <c r="AB100" s="17">
        <f>(VLOOKUP(V100,物品id!A:E,5,FALSE)*挂机玩法填表!Z100+VLOOKUP(挂机玩法填表!W100,物品id!A:E,5,FALSE)*挂机玩法填表!AA100)/(U100/60)</f>
        <v>45.936</v>
      </c>
      <c r="AD100" s="47" t="str">
        <f>IF(G100="","",VLOOKUP(G100,物品id!$A:$B,2,FALSE)&amp;",")</f>
        <v>2111,</v>
      </c>
      <c r="AE100" s="47" t="str">
        <f>IF(H100="","",VLOOKUP(H100,物品id!$A:$B,2,FALSE)&amp;",")</f>
        <v>2211,</v>
      </c>
      <c r="AF100" s="47" t="str">
        <f>IF(I100="","",VLOOKUP(I100,物品id!$A:$B,2,FALSE)&amp;",")</f>
        <v>2311,</v>
      </c>
      <c r="AG100" s="47" t="str">
        <f t="shared" si="239"/>
        <v>2111,2211,2311,</v>
      </c>
      <c r="AH100" s="47" t="str">
        <f t="shared" si="240"/>
        <v>[2111,2211,2311]</v>
      </c>
      <c r="AI100" s="17" t="str">
        <f t="shared" si="247"/>
        <v>3,</v>
      </c>
      <c r="AJ100" s="17" t="str">
        <f t="shared" si="248"/>
        <v>4,</v>
      </c>
      <c r="AK100" s="17" t="str">
        <f t="shared" si="249"/>
        <v>3,</v>
      </c>
      <c r="AL100" s="47" t="str">
        <f t="shared" si="241"/>
        <v>3,4,3,</v>
      </c>
      <c r="AM100" s="47" t="str">
        <f t="shared" si="242"/>
        <v>[3,4,3]</v>
      </c>
      <c r="AN100" s="47" t="str">
        <f>VLOOKUP(T100,物品id!$A:$B,2,FALSE)&amp;","</f>
        <v>102,</v>
      </c>
      <c r="AO100" s="17" t="str">
        <f t="shared" si="193"/>
        <v>[102]</v>
      </c>
      <c r="AP100" s="47" t="str">
        <f t="shared" si="184"/>
        <v>240,</v>
      </c>
      <c r="AQ100" s="17" t="str">
        <f t="shared" si="194"/>
        <v>[240]</v>
      </c>
      <c r="AR100" s="47" t="str">
        <f>IF(V100="","",VLOOKUP(V100,物品id!$A:$B,2,FALSE)&amp;",")</f>
        <v>20033,</v>
      </c>
      <c r="AS100" s="47" t="str">
        <f>IF(W100="","",VLOOKUP(W100,物品id!$A:$B,2,FALSE)&amp;",")</f>
        <v>102,</v>
      </c>
      <c r="AT100" s="47" t="str">
        <f t="shared" si="243"/>
        <v>20033,102,</v>
      </c>
      <c r="AU100" s="47" t="str">
        <f t="shared" si="244"/>
        <v>[20033,102]</v>
      </c>
      <c r="AV100" s="47" t="str">
        <f t="shared" si="185"/>
        <v>2,</v>
      </c>
      <c r="AW100" s="47" t="str">
        <f t="shared" si="186"/>
        <v>480,</v>
      </c>
      <c r="AX100" s="47" t="str">
        <f t="shared" si="245"/>
        <v>2,480,</v>
      </c>
      <c r="AY100" s="47" t="str">
        <f t="shared" si="246"/>
        <v>[2,480]</v>
      </c>
    </row>
    <row r="101" spans="1:51" s="47" customFormat="1" x14ac:dyDescent="0.2">
      <c r="A101" s="47">
        <v>4</v>
      </c>
      <c r="B101" s="47" t="s">
        <v>1033</v>
      </c>
      <c r="C101" s="47">
        <v>38</v>
      </c>
      <c r="D101" s="34" t="s">
        <v>1143</v>
      </c>
      <c r="E101" s="47" t="s">
        <v>135</v>
      </c>
      <c r="F101" s="47">
        <v>3</v>
      </c>
      <c r="G101" s="47" t="s">
        <v>824</v>
      </c>
      <c r="H101" s="47" t="s">
        <v>825</v>
      </c>
      <c r="I101" s="47" t="s">
        <v>827</v>
      </c>
      <c r="J101" s="17">
        <v>1</v>
      </c>
      <c r="K101" s="17">
        <v>0.8</v>
      </c>
      <c r="L101" s="17">
        <v>0.6</v>
      </c>
      <c r="M101" s="35">
        <f>(IF(G101="",挂机玩法规划!$L$2,VLOOKUP(G101,物品id!A:D,4,FALSE)*IF(J101=0,1,4))*IF(J101=0,1,J101)+IF(H101="",挂机玩法规划!$L$2,VLOOKUP(H101,物品id!A:D,4,FALSE)*IF(K101=0,1,4))*IF(K101=0,1,K101)+IF(I101="",挂机玩法规划!$L$2,VLOOKUP(I101,物品id!A:D,4,FALSE)*IF(L101=0,1,4))*IF(L101=0,1,L101))/O101</f>
        <v>0.73333333333333328</v>
      </c>
      <c r="N101" s="44">
        <f>IF(G101="",挂机玩法规划!$L$2,VLOOKUP(G101,物品id!A:D,4,FALSE)*4)+IF(H101="",挂机玩法规划!$L$2,VLOOKUP(H101,物品id!A:D,4,FALSE)*4)+IF(I101="",挂机玩法规划!$L$2,VLOOKUP(I101,物品id!A:D,4,FALSE)*4)</f>
        <v>240</v>
      </c>
      <c r="O101" s="48">
        <v>240</v>
      </c>
      <c r="P101" s="47">
        <v>3</v>
      </c>
      <c r="Q101" s="47">
        <v>4</v>
      </c>
      <c r="R101" s="47">
        <v>3</v>
      </c>
      <c r="S101" s="47">
        <v>240</v>
      </c>
      <c r="T101" s="47" t="s">
        <v>835</v>
      </c>
      <c r="U101" s="47">
        <v>240</v>
      </c>
      <c r="V101" s="47" t="s">
        <v>837</v>
      </c>
      <c r="W101" s="47" t="s">
        <v>200</v>
      </c>
      <c r="X101" s="47">
        <v>2</v>
      </c>
      <c r="Y101" s="47">
        <f>U101*挂机玩法规划!$O$4*VLOOKUP(E101,挂机玩法规划!$G$2:$I$17,3,FALSE)</f>
        <v>480</v>
      </c>
      <c r="Z101" s="17">
        <f t="shared" si="187"/>
        <v>1.4666666666666666</v>
      </c>
      <c r="AA101" s="17">
        <f t="shared" si="188"/>
        <v>352</v>
      </c>
      <c r="AB101" s="17">
        <f>(VLOOKUP(V101,物品id!A:E,5,FALSE)*挂机玩法填表!Z101+VLOOKUP(挂机玩法填表!W101,物品id!A:E,5,FALSE)*挂机玩法填表!AA101)/(U101/60)</f>
        <v>45.936</v>
      </c>
      <c r="AD101" s="47" t="str">
        <f>IF(G101="","",VLOOKUP(G101,物品id!$A:$B,2,FALSE)&amp;",")</f>
        <v>3111,</v>
      </c>
      <c r="AE101" s="47" t="str">
        <f>IF(H101="","",VLOOKUP(H101,物品id!$A:$B,2,FALSE)&amp;",")</f>
        <v>3211,</v>
      </c>
      <c r="AF101" s="47" t="str">
        <f>IF(I101="","",VLOOKUP(I101,物品id!$A:$B,2,FALSE)&amp;",")</f>
        <v>3311,</v>
      </c>
      <c r="AG101" s="47" t="str">
        <f t="shared" si="239"/>
        <v>3111,3211,3311,</v>
      </c>
      <c r="AH101" s="47" t="str">
        <f t="shared" si="240"/>
        <v>[3111,3211,3311]</v>
      </c>
      <c r="AI101" s="17" t="str">
        <f t="shared" si="247"/>
        <v>3,</v>
      </c>
      <c r="AJ101" s="17" t="str">
        <f t="shared" si="248"/>
        <v>4,</v>
      </c>
      <c r="AK101" s="17" t="str">
        <f t="shared" si="249"/>
        <v>3,</v>
      </c>
      <c r="AL101" s="47" t="str">
        <f t="shared" si="241"/>
        <v>3,4,3,</v>
      </c>
      <c r="AM101" s="47" t="str">
        <f t="shared" si="242"/>
        <v>[3,4,3]</v>
      </c>
      <c r="AN101" s="47" t="str">
        <f>VLOOKUP(T101,物品id!$A:$B,2,FALSE)&amp;","</f>
        <v>102,</v>
      </c>
      <c r="AO101" s="17" t="str">
        <f t="shared" si="193"/>
        <v>[102]</v>
      </c>
      <c r="AP101" s="47" t="str">
        <f t="shared" si="184"/>
        <v>240,</v>
      </c>
      <c r="AQ101" s="17" t="str">
        <f t="shared" si="194"/>
        <v>[240]</v>
      </c>
      <c r="AR101" s="47" t="str">
        <f>IF(V101="","",VLOOKUP(V101,物品id!$A:$B,2,FALSE)&amp;",")</f>
        <v>20033,</v>
      </c>
      <c r="AS101" s="47" t="str">
        <f>IF(W101="","",VLOOKUP(W101,物品id!$A:$B,2,FALSE)&amp;",")</f>
        <v>102,</v>
      </c>
      <c r="AT101" s="47" t="str">
        <f t="shared" si="243"/>
        <v>20033,102,</v>
      </c>
      <c r="AU101" s="47" t="str">
        <f t="shared" si="244"/>
        <v>[20033,102]</v>
      </c>
      <c r="AV101" s="47" t="str">
        <f t="shared" si="185"/>
        <v>2,</v>
      </c>
      <c r="AW101" s="47" t="str">
        <f t="shared" si="186"/>
        <v>480,</v>
      </c>
      <c r="AX101" s="47" t="str">
        <f t="shared" si="245"/>
        <v>2,480,</v>
      </c>
      <c r="AY101" s="47" t="str">
        <f t="shared" si="246"/>
        <v>[2,480]</v>
      </c>
    </row>
    <row r="102" spans="1:51" s="47" customFormat="1" x14ac:dyDescent="0.2">
      <c r="A102" s="47">
        <v>4</v>
      </c>
      <c r="B102" s="47" t="s">
        <v>1033</v>
      </c>
      <c r="C102" s="47">
        <v>39</v>
      </c>
      <c r="D102" s="34" t="s">
        <v>1144</v>
      </c>
      <c r="E102" s="47" t="s">
        <v>135</v>
      </c>
      <c r="F102" s="47">
        <v>3</v>
      </c>
      <c r="G102" s="47" t="s">
        <v>804</v>
      </c>
      <c r="H102" s="47" t="s">
        <v>805</v>
      </c>
      <c r="I102" s="47" t="s">
        <v>806</v>
      </c>
      <c r="J102" s="17">
        <v>1</v>
      </c>
      <c r="K102" s="17">
        <v>0.8</v>
      </c>
      <c r="L102" s="17">
        <v>0.6</v>
      </c>
      <c r="M102" s="35">
        <f>(IF(G102="",挂机玩法规划!$L$2,VLOOKUP(G102,物品id!A:D,4,FALSE)*IF(J102=0,1,4))*IF(J102=0,1,J102)+IF(H102="",挂机玩法规划!$L$2,VLOOKUP(H102,物品id!A:D,4,FALSE)*IF(K102=0,1,4))*IF(K102=0,1,K102)+IF(I102="",挂机玩法规划!$L$2,VLOOKUP(I102,物品id!A:D,4,FALSE)*IF(L102=0,1,4))*IF(L102=0,1,L102))/O102</f>
        <v>0.77142857142857146</v>
      </c>
      <c r="N102" s="44">
        <f>IF(G102="",挂机玩法规划!$L$2,VLOOKUP(G102,物品id!A:D,4,FALSE)*4)+IF(H102="",挂机玩法规划!$L$2,VLOOKUP(H102,物品id!A:D,4,FALSE)*4)+IF(I102="",挂机玩法规划!$L$2,VLOOKUP(I102,物品id!A:D,4,FALSE)*4)</f>
        <v>280</v>
      </c>
      <c r="O102" s="48">
        <v>280</v>
      </c>
      <c r="P102" s="47">
        <v>3</v>
      </c>
      <c r="Q102" s="47">
        <v>4</v>
      </c>
      <c r="R102" s="47">
        <v>3</v>
      </c>
      <c r="S102" s="47">
        <v>480</v>
      </c>
      <c r="T102" s="47" t="s">
        <v>835</v>
      </c>
      <c r="U102" s="47">
        <v>480</v>
      </c>
      <c r="V102" s="47" t="s">
        <v>1047</v>
      </c>
      <c r="W102" s="47" t="s">
        <v>200</v>
      </c>
      <c r="X102" s="47">
        <v>3</v>
      </c>
      <c r="Y102" s="47">
        <f>U102*挂机玩法规划!$O$4*VLOOKUP(E102,挂机玩法规划!$G$2:$I$17,3,FALSE)</f>
        <v>960</v>
      </c>
      <c r="Z102" s="17">
        <f t="shared" si="187"/>
        <v>2.3142857142857145</v>
      </c>
      <c r="AA102" s="17">
        <f t="shared" si="188"/>
        <v>740.57142857142856</v>
      </c>
      <c r="AB102" s="17">
        <f>(VLOOKUP(V102,物品id!A:E,5,FALSE)*挂机玩法填表!Z102+VLOOKUP(挂机玩法填表!W102,物品id!A:E,5,FALSE)*挂机玩法填表!AA102)/(U102/60)</f>
        <v>36.750857142857143</v>
      </c>
      <c r="AD102" s="47" t="str">
        <f>IF(G102="","",VLOOKUP(G102,物品id!$A:$B,2,FALSE)&amp;",")</f>
        <v>1211,</v>
      </c>
      <c r="AE102" s="47" t="str">
        <f>IF(H102="","",VLOOKUP(H102,物品id!$A:$B,2,FALSE)&amp;",")</f>
        <v>1221,</v>
      </c>
      <c r="AF102" s="47" t="str">
        <f>IF(I102="","",VLOOKUP(I102,物品id!$A:$B,2,FALSE)&amp;",")</f>
        <v>1311,</v>
      </c>
      <c r="AG102" s="47" t="str">
        <f t="shared" si="239"/>
        <v>1211,1221,1311,</v>
      </c>
      <c r="AH102" s="47" t="str">
        <f t="shared" si="240"/>
        <v>[1211,1221,1311]</v>
      </c>
      <c r="AI102" s="17" t="str">
        <f t="shared" si="247"/>
        <v>3,</v>
      </c>
      <c r="AJ102" s="17" t="str">
        <f t="shared" si="248"/>
        <v>4,</v>
      </c>
      <c r="AK102" s="17" t="str">
        <f t="shared" si="249"/>
        <v>3,</v>
      </c>
      <c r="AL102" s="47" t="str">
        <f t="shared" si="241"/>
        <v>3,4,3,</v>
      </c>
      <c r="AM102" s="47" t="str">
        <f t="shared" si="242"/>
        <v>[3,4,3]</v>
      </c>
      <c r="AN102" s="47" t="str">
        <f>VLOOKUP(T102,物品id!$A:$B,2,FALSE)&amp;","</f>
        <v>102,</v>
      </c>
      <c r="AO102" s="17" t="str">
        <f t="shared" si="193"/>
        <v>[102]</v>
      </c>
      <c r="AP102" s="47" t="str">
        <f t="shared" si="184"/>
        <v>480,</v>
      </c>
      <c r="AQ102" s="17" t="str">
        <f t="shared" si="194"/>
        <v>[480]</v>
      </c>
      <c r="AR102" s="47" t="str">
        <f>IF(V102="","",VLOOKUP(V102,物品id!$A:$B,2,FALSE)&amp;",")</f>
        <v>20033,</v>
      </c>
      <c r="AS102" s="47" t="str">
        <f>IF(W102="","",VLOOKUP(W102,物品id!$A:$B,2,FALSE)&amp;",")</f>
        <v>102,</v>
      </c>
      <c r="AT102" s="47" t="str">
        <f t="shared" si="243"/>
        <v>20033,102,</v>
      </c>
      <c r="AU102" s="47" t="str">
        <f t="shared" si="244"/>
        <v>[20033,102]</v>
      </c>
      <c r="AV102" s="47" t="str">
        <f t="shared" si="185"/>
        <v>3,</v>
      </c>
      <c r="AW102" s="47" t="str">
        <f t="shared" si="186"/>
        <v>960,</v>
      </c>
      <c r="AX102" s="47" t="str">
        <f t="shared" si="245"/>
        <v>3,960,</v>
      </c>
      <c r="AY102" s="47" t="str">
        <f t="shared" si="246"/>
        <v>[3,960]</v>
      </c>
    </row>
    <row r="103" spans="1:51" s="47" customFormat="1" x14ac:dyDescent="0.2">
      <c r="A103" s="47">
        <v>4</v>
      </c>
      <c r="B103" s="47" t="s">
        <v>1033</v>
      </c>
      <c r="C103" s="47">
        <v>39</v>
      </c>
      <c r="D103" s="34" t="s">
        <v>1144</v>
      </c>
      <c r="E103" s="47" t="s">
        <v>135</v>
      </c>
      <c r="F103" s="47">
        <v>3</v>
      </c>
      <c r="G103" s="47" t="s">
        <v>815</v>
      </c>
      <c r="H103" s="47" t="s">
        <v>816</v>
      </c>
      <c r="I103" s="47" t="s">
        <v>817</v>
      </c>
      <c r="J103" s="17">
        <v>1</v>
      </c>
      <c r="K103" s="17">
        <v>0.8</v>
      </c>
      <c r="L103" s="17">
        <v>0.6</v>
      </c>
      <c r="M103" s="35">
        <f>(IF(G103="",挂机玩法规划!$L$2,VLOOKUP(G103,物品id!A:D,4,FALSE)*IF(J103=0,1,4))*IF(J103=0,1,J103)+IF(H103="",挂机玩法规划!$L$2,VLOOKUP(H103,物品id!A:D,4,FALSE)*IF(K103=0,1,4))*IF(K103=0,1,K103)+IF(I103="",挂机玩法规划!$L$2,VLOOKUP(I103,物品id!A:D,4,FALSE)*IF(L103=0,1,4))*IF(L103=0,1,L103))/O103</f>
        <v>0.77142857142857146</v>
      </c>
      <c r="N103" s="44">
        <f>IF(G103="",挂机玩法规划!$L$2,VLOOKUP(G103,物品id!A:D,4,FALSE)*4)+IF(H103="",挂机玩法规划!$L$2,VLOOKUP(H103,物品id!A:D,4,FALSE)*4)+IF(I103="",挂机玩法规划!$L$2,VLOOKUP(I103,物品id!A:D,4,FALSE)*4)</f>
        <v>280</v>
      </c>
      <c r="O103" s="48">
        <v>280</v>
      </c>
      <c r="P103" s="47">
        <v>3</v>
      </c>
      <c r="Q103" s="47">
        <v>4</v>
      </c>
      <c r="R103" s="47">
        <v>3</v>
      </c>
      <c r="S103" s="47">
        <v>480</v>
      </c>
      <c r="T103" s="47" t="s">
        <v>835</v>
      </c>
      <c r="U103" s="47">
        <v>480</v>
      </c>
      <c r="V103" s="47" t="s">
        <v>1047</v>
      </c>
      <c r="W103" s="47" t="s">
        <v>200</v>
      </c>
      <c r="X103" s="47">
        <v>3</v>
      </c>
      <c r="Y103" s="47">
        <f>U103*挂机玩法规划!$O$4*VLOOKUP(E103,挂机玩法规划!$G$2:$I$17,3,FALSE)</f>
        <v>960</v>
      </c>
      <c r="Z103" s="17">
        <f t="shared" si="187"/>
        <v>2.3142857142857145</v>
      </c>
      <c r="AA103" s="17">
        <f t="shared" si="188"/>
        <v>740.57142857142856</v>
      </c>
      <c r="AB103" s="17">
        <f>(VLOOKUP(V103,物品id!A:E,5,FALSE)*挂机玩法填表!Z103+VLOOKUP(挂机玩法填表!W103,物品id!A:E,5,FALSE)*挂机玩法填表!AA103)/(U103/60)</f>
        <v>36.750857142857143</v>
      </c>
      <c r="AD103" s="47" t="str">
        <f>IF(G103="","",VLOOKUP(G103,物品id!$A:$B,2,FALSE)&amp;",")</f>
        <v>2211,</v>
      </c>
      <c r="AE103" s="47" t="str">
        <f>IF(H103="","",VLOOKUP(H103,物品id!$A:$B,2,FALSE)&amp;",")</f>
        <v>2221,</v>
      </c>
      <c r="AF103" s="47" t="str">
        <f>IF(I103="","",VLOOKUP(I103,物品id!$A:$B,2,FALSE)&amp;",")</f>
        <v>2311,</v>
      </c>
      <c r="AG103" s="47" t="str">
        <f t="shared" si="239"/>
        <v>2211,2221,2311,</v>
      </c>
      <c r="AH103" s="47" t="str">
        <f t="shared" si="240"/>
        <v>[2211,2221,2311]</v>
      </c>
      <c r="AI103" s="17" t="str">
        <f t="shared" si="247"/>
        <v>3,</v>
      </c>
      <c r="AJ103" s="17" t="str">
        <f t="shared" si="248"/>
        <v>4,</v>
      </c>
      <c r="AK103" s="17" t="str">
        <f t="shared" si="249"/>
        <v>3,</v>
      </c>
      <c r="AL103" s="47" t="str">
        <f t="shared" si="241"/>
        <v>3,4,3,</v>
      </c>
      <c r="AM103" s="47" t="str">
        <f t="shared" si="242"/>
        <v>[3,4,3]</v>
      </c>
      <c r="AN103" s="47" t="str">
        <f>VLOOKUP(T103,物品id!$A:$B,2,FALSE)&amp;","</f>
        <v>102,</v>
      </c>
      <c r="AO103" s="17" t="str">
        <f t="shared" si="193"/>
        <v>[102]</v>
      </c>
      <c r="AP103" s="47" t="str">
        <f t="shared" si="184"/>
        <v>480,</v>
      </c>
      <c r="AQ103" s="17" t="str">
        <f t="shared" si="194"/>
        <v>[480]</v>
      </c>
      <c r="AR103" s="47" t="str">
        <f>IF(V103="","",VLOOKUP(V103,物品id!$A:$B,2,FALSE)&amp;",")</f>
        <v>20033,</v>
      </c>
      <c r="AS103" s="47" t="str">
        <f>IF(W103="","",VLOOKUP(W103,物品id!$A:$B,2,FALSE)&amp;",")</f>
        <v>102,</v>
      </c>
      <c r="AT103" s="47" t="str">
        <f t="shared" si="243"/>
        <v>20033,102,</v>
      </c>
      <c r="AU103" s="47" t="str">
        <f t="shared" si="244"/>
        <v>[20033,102]</v>
      </c>
      <c r="AV103" s="47" t="str">
        <f t="shared" si="185"/>
        <v>3,</v>
      </c>
      <c r="AW103" s="47" t="str">
        <f t="shared" si="186"/>
        <v>960,</v>
      </c>
      <c r="AX103" s="47" t="str">
        <f t="shared" si="245"/>
        <v>3,960,</v>
      </c>
      <c r="AY103" s="47" t="str">
        <f t="shared" si="246"/>
        <v>[3,960]</v>
      </c>
    </row>
    <row r="104" spans="1:51" s="47" customFormat="1" x14ac:dyDescent="0.2">
      <c r="A104" s="47">
        <v>4</v>
      </c>
      <c r="B104" s="47" t="s">
        <v>1033</v>
      </c>
      <c r="C104" s="47">
        <v>39</v>
      </c>
      <c r="D104" s="34" t="s">
        <v>1144</v>
      </c>
      <c r="E104" s="47" t="s">
        <v>135</v>
      </c>
      <c r="F104" s="47">
        <v>3</v>
      </c>
      <c r="G104" s="47" t="s">
        <v>825</v>
      </c>
      <c r="H104" s="47" t="s">
        <v>826</v>
      </c>
      <c r="I104" s="47" t="s">
        <v>827</v>
      </c>
      <c r="J104" s="17">
        <v>1</v>
      </c>
      <c r="K104" s="17">
        <v>0.8</v>
      </c>
      <c r="L104" s="17">
        <v>0.6</v>
      </c>
      <c r="M104" s="35">
        <f>(IF(G104="",挂机玩法规划!$L$2,VLOOKUP(G104,物品id!A:D,4,FALSE)*IF(J104=0,1,4))*IF(J104=0,1,J104)+IF(H104="",挂机玩法规划!$L$2,VLOOKUP(H104,物品id!A:D,4,FALSE)*IF(K104=0,1,4))*IF(K104=0,1,K104)+IF(I104="",挂机玩法规划!$L$2,VLOOKUP(I104,物品id!A:D,4,FALSE)*IF(L104=0,1,4))*IF(L104=0,1,L104))/O104</f>
        <v>0.77142857142857146</v>
      </c>
      <c r="N104" s="44">
        <f>IF(G104="",挂机玩法规划!$L$2,VLOOKUP(G104,物品id!A:D,4,FALSE)*4)+IF(H104="",挂机玩法规划!$L$2,VLOOKUP(H104,物品id!A:D,4,FALSE)*4)+IF(I104="",挂机玩法规划!$L$2,VLOOKUP(I104,物品id!A:D,4,FALSE)*4)</f>
        <v>280</v>
      </c>
      <c r="O104" s="48">
        <v>280</v>
      </c>
      <c r="P104" s="47">
        <v>3</v>
      </c>
      <c r="Q104" s="47">
        <v>4</v>
      </c>
      <c r="R104" s="47">
        <v>3</v>
      </c>
      <c r="S104" s="47">
        <v>480</v>
      </c>
      <c r="T104" s="47" t="s">
        <v>835</v>
      </c>
      <c r="U104" s="47">
        <v>480</v>
      </c>
      <c r="V104" s="47" t="s">
        <v>1047</v>
      </c>
      <c r="W104" s="47" t="s">
        <v>200</v>
      </c>
      <c r="X104" s="47">
        <v>3</v>
      </c>
      <c r="Y104" s="47">
        <f>U104*挂机玩法规划!$O$4*VLOOKUP(E104,挂机玩法规划!$G$2:$I$17,3,FALSE)</f>
        <v>960</v>
      </c>
      <c r="Z104" s="17">
        <f t="shared" si="187"/>
        <v>2.3142857142857145</v>
      </c>
      <c r="AA104" s="17">
        <f t="shared" si="188"/>
        <v>740.57142857142856</v>
      </c>
      <c r="AB104" s="17">
        <f>(VLOOKUP(V104,物品id!A:E,5,FALSE)*挂机玩法填表!Z104+VLOOKUP(挂机玩法填表!W104,物品id!A:E,5,FALSE)*挂机玩法填表!AA104)/(U104/60)</f>
        <v>36.750857142857143</v>
      </c>
      <c r="AD104" s="47" t="str">
        <f>IF(G104="","",VLOOKUP(G104,物品id!$A:$B,2,FALSE)&amp;",")</f>
        <v>3211,</v>
      </c>
      <c r="AE104" s="47" t="str">
        <f>IF(H104="","",VLOOKUP(H104,物品id!$A:$B,2,FALSE)&amp;",")</f>
        <v>3221,</v>
      </c>
      <c r="AF104" s="47" t="str">
        <f>IF(I104="","",VLOOKUP(I104,物品id!$A:$B,2,FALSE)&amp;",")</f>
        <v>3311,</v>
      </c>
      <c r="AG104" s="47" t="str">
        <f t="shared" si="239"/>
        <v>3211,3221,3311,</v>
      </c>
      <c r="AH104" s="47" t="str">
        <f t="shared" si="240"/>
        <v>[3211,3221,3311]</v>
      </c>
      <c r="AI104" s="17" t="str">
        <f t="shared" si="247"/>
        <v>3,</v>
      </c>
      <c r="AJ104" s="17" t="str">
        <f t="shared" si="248"/>
        <v>4,</v>
      </c>
      <c r="AK104" s="17" t="str">
        <f t="shared" si="249"/>
        <v>3,</v>
      </c>
      <c r="AL104" s="47" t="str">
        <f t="shared" si="241"/>
        <v>3,4,3,</v>
      </c>
      <c r="AM104" s="47" t="str">
        <f t="shared" si="242"/>
        <v>[3,4,3]</v>
      </c>
      <c r="AN104" s="47" t="str">
        <f>VLOOKUP(T104,物品id!$A:$B,2,FALSE)&amp;","</f>
        <v>102,</v>
      </c>
      <c r="AO104" s="17" t="str">
        <f t="shared" si="193"/>
        <v>[102]</v>
      </c>
      <c r="AP104" s="47" t="str">
        <f t="shared" si="184"/>
        <v>480,</v>
      </c>
      <c r="AQ104" s="17" t="str">
        <f t="shared" si="194"/>
        <v>[480]</v>
      </c>
      <c r="AR104" s="47" t="str">
        <f>IF(V104="","",VLOOKUP(V104,物品id!$A:$B,2,FALSE)&amp;",")</f>
        <v>20033,</v>
      </c>
      <c r="AS104" s="47" t="str">
        <f>IF(W104="","",VLOOKUP(W104,物品id!$A:$B,2,FALSE)&amp;",")</f>
        <v>102,</v>
      </c>
      <c r="AT104" s="47" t="str">
        <f t="shared" si="243"/>
        <v>20033,102,</v>
      </c>
      <c r="AU104" s="47" t="str">
        <f t="shared" si="244"/>
        <v>[20033,102]</v>
      </c>
      <c r="AV104" s="47" t="str">
        <f t="shared" si="185"/>
        <v>3,</v>
      </c>
      <c r="AW104" s="47" t="str">
        <f t="shared" si="186"/>
        <v>960,</v>
      </c>
      <c r="AX104" s="47" t="str">
        <f t="shared" si="245"/>
        <v>3,960,</v>
      </c>
      <c r="AY104" s="47" t="str">
        <f t="shared" si="246"/>
        <v>[3,960]</v>
      </c>
    </row>
    <row r="105" spans="1:51" s="47" customFormat="1" x14ac:dyDescent="0.2">
      <c r="A105" s="47">
        <v>1</v>
      </c>
      <c r="B105" s="47" t="s">
        <v>1033</v>
      </c>
      <c r="C105" s="47">
        <v>40</v>
      </c>
      <c r="D105" s="34" t="s">
        <v>1145</v>
      </c>
      <c r="E105" s="47" t="s">
        <v>1030</v>
      </c>
      <c r="F105" s="47">
        <v>3</v>
      </c>
      <c r="G105" s="47" t="s">
        <v>806</v>
      </c>
      <c r="H105" s="47" t="s">
        <v>817</v>
      </c>
      <c r="I105" s="47" t="s">
        <v>827</v>
      </c>
      <c r="J105" s="17">
        <v>0.6</v>
      </c>
      <c r="K105" s="17">
        <v>0.6</v>
      </c>
      <c r="L105" s="17">
        <v>0.6</v>
      </c>
      <c r="M105" s="35">
        <f>(IF(G105="",挂机玩法规划!$L$2,VLOOKUP(G105,物品id!A:D,4,FALSE)*IF(J105=0,1,4))*IF(J105=0,1,J105)+IF(H105="",挂机玩法规划!$L$2,VLOOKUP(H105,物品id!A:D,4,FALSE)*IF(K105=0,1,4))*IF(K105=0,1,K105)+IF(I105="",挂机玩法规划!$L$2,VLOOKUP(I105,物品id!A:D,4,FALSE)*IF(L105=0,1,4))*IF(L105=0,1,L105))/O105</f>
        <v>0.6</v>
      </c>
      <c r="N105" s="44">
        <f>IF(G105="",挂机玩法规划!$L$2,VLOOKUP(G105,物品id!A:D,4,FALSE)*4)+IF(H105="",挂机玩法规划!$L$2,VLOOKUP(H105,物品id!A:D,4,FALSE)*4)+IF(I105="",挂机玩法规划!$L$2,VLOOKUP(I105,物品id!A:D,4,FALSE)*4)</f>
        <v>360</v>
      </c>
      <c r="O105" s="48">
        <v>360</v>
      </c>
      <c r="P105" s="47">
        <v>4</v>
      </c>
      <c r="Q105" s="47">
        <v>4</v>
      </c>
      <c r="R105" s="47">
        <v>4</v>
      </c>
      <c r="S105" s="47">
        <v>120</v>
      </c>
      <c r="T105" s="47" t="s">
        <v>835</v>
      </c>
      <c r="U105" s="47">
        <v>120</v>
      </c>
      <c r="V105" s="47" t="s">
        <v>841</v>
      </c>
      <c r="W105" s="47" t="s">
        <v>200</v>
      </c>
      <c r="X105" s="47">
        <v>1</v>
      </c>
      <c r="Y105" s="47">
        <f>U105*挂机玩法规划!$O$4*VLOOKUP(E105,挂机玩法规划!$G$2:$I$17,3,FALSE)</f>
        <v>480</v>
      </c>
      <c r="Z105" s="17">
        <f t="shared" si="187"/>
        <v>0.6</v>
      </c>
      <c r="AA105" s="17">
        <f t="shared" si="188"/>
        <v>288</v>
      </c>
      <c r="AB105" s="17">
        <f>(VLOOKUP(V105,物品id!A:E,5,FALSE)*挂机玩法填表!Z105+VLOOKUP(挂机玩法填表!W105,物品id!A:E,5,FALSE)*挂机玩法填表!AA105)/(U105/60)</f>
        <v>33.167999999999999</v>
      </c>
      <c r="AD105" s="17" t="str">
        <f>IF(G105="","",VLOOKUP(G105,物品id!$A:$B,2,FALSE)&amp;",")</f>
        <v>1311,</v>
      </c>
      <c r="AE105" s="17" t="str">
        <f>IF(H105="","",VLOOKUP(H105,物品id!$A:$B,2,FALSE)&amp;",")</f>
        <v>2311,</v>
      </c>
      <c r="AF105" s="17" t="str">
        <f>IF(I105="","",VLOOKUP(I105,物品id!$A:$B,2,FALSE)&amp;",")</f>
        <v>3311,</v>
      </c>
      <c r="AG105" s="47" t="str">
        <f t="shared" si="42"/>
        <v>1311,2311,3311,</v>
      </c>
      <c r="AH105" s="47" t="str">
        <f t="shared" si="43"/>
        <v>[1311,2311,3311]</v>
      </c>
      <c r="AI105" s="17" t="str">
        <f t="shared" si="247"/>
        <v>4,</v>
      </c>
      <c r="AJ105" s="17" t="str">
        <f t="shared" si="248"/>
        <v>4,</v>
      </c>
      <c r="AK105" s="17" t="str">
        <f t="shared" si="249"/>
        <v>4,</v>
      </c>
      <c r="AL105" s="47" t="str">
        <f t="shared" si="44"/>
        <v>4,4,4,</v>
      </c>
      <c r="AM105" s="47" t="str">
        <f t="shared" si="45"/>
        <v>[4,4,4]</v>
      </c>
      <c r="AN105" s="47" t="str">
        <f>VLOOKUP(T105,物品id!$A:$B,2,FALSE)&amp;","</f>
        <v>102,</v>
      </c>
      <c r="AO105" s="17" t="str">
        <f t="shared" si="193"/>
        <v>[102]</v>
      </c>
      <c r="AP105" s="47" t="str">
        <f t="shared" si="184"/>
        <v>120,</v>
      </c>
      <c r="AQ105" s="17" t="str">
        <f t="shared" si="194"/>
        <v>[120]</v>
      </c>
      <c r="AR105" s="47" t="str">
        <f>IF(V105="","",VLOOKUP(V105,物品id!$A:$B,2,FALSE)&amp;",")</f>
        <v>20037,</v>
      </c>
      <c r="AS105" s="47" t="str">
        <f>IF(W105="","",VLOOKUP(W105,物品id!$A:$B,2,FALSE)&amp;",")</f>
        <v>102,</v>
      </c>
      <c r="AT105" s="47" t="str">
        <f t="shared" si="46"/>
        <v>20037,102,</v>
      </c>
      <c r="AU105" s="47" t="str">
        <f t="shared" si="47"/>
        <v>[20037,102]</v>
      </c>
      <c r="AV105" s="47" t="str">
        <f t="shared" si="185"/>
        <v>1,</v>
      </c>
      <c r="AW105" s="47" t="str">
        <f t="shared" si="186"/>
        <v>480,</v>
      </c>
      <c r="AX105" s="47" t="str">
        <f t="shared" si="48"/>
        <v>1,480,</v>
      </c>
      <c r="AY105" s="47" t="str">
        <f t="shared" si="49"/>
        <v>[1,480]</v>
      </c>
    </row>
    <row r="106" spans="1:51" s="47" customFormat="1" x14ac:dyDescent="0.2">
      <c r="A106" s="47">
        <v>2</v>
      </c>
      <c r="B106" s="47" t="s">
        <v>1033</v>
      </c>
      <c r="C106" s="47">
        <v>40</v>
      </c>
      <c r="D106" s="34" t="s">
        <v>1145</v>
      </c>
      <c r="E106" s="47" t="s">
        <v>1030</v>
      </c>
      <c r="F106" s="47">
        <v>3</v>
      </c>
      <c r="G106" s="47" t="s">
        <v>806</v>
      </c>
      <c r="H106" s="47" t="s">
        <v>817</v>
      </c>
      <c r="I106" s="47" t="s">
        <v>827</v>
      </c>
      <c r="J106" s="17">
        <v>0.6</v>
      </c>
      <c r="K106" s="17">
        <v>0.6</v>
      </c>
      <c r="L106" s="17">
        <v>0.6</v>
      </c>
      <c r="M106" s="35">
        <f>(IF(G106="",挂机玩法规划!$L$2,VLOOKUP(G106,物品id!A:D,4,FALSE)*IF(J106=0,1,4))*IF(J106=0,1,J106)+IF(H106="",挂机玩法规划!$L$2,VLOOKUP(H106,物品id!A:D,4,FALSE)*IF(K106=0,1,4))*IF(K106=0,1,K106)+IF(I106="",挂机玩法规划!$L$2,VLOOKUP(I106,物品id!A:D,4,FALSE)*IF(L106=0,1,4))*IF(L106=0,1,L106))/O106</f>
        <v>0.6</v>
      </c>
      <c r="N106" s="44">
        <f>IF(G106="",挂机玩法规划!$L$2,VLOOKUP(G106,物品id!A:D,4,FALSE)*4)+IF(H106="",挂机玩法规划!$L$2,VLOOKUP(H106,物品id!A:D,4,FALSE)*4)+IF(I106="",挂机玩法规划!$L$2,VLOOKUP(I106,物品id!A:D,4,FALSE)*4)</f>
        <v>360</v>
      </c>
      <c r="O106" s="48">
        <v>360</v>
      </c>
      <c r="P106" s="47">
        <v>4</v>
      </c>
      <c r="Q106" s="47">
        <v>4</v>
      </c>
      <c r="R106" s="47">
        <v>4</v>
      </c>
      <c r="S106" s="47">
        <v>240</v>
      </c>
      <c r="T106" s="47" t="s">
        <v>835</v>
      </c>
      <c r="U106" s="47">
        <v>240</v>
      </c>
      <c r="V106" s="47" t="s">
        <v>841</v>
      </c>
      <c r="W106" s="47" t="s">
        <v>200</v>
      </c>
      <c r="X106" s="47">
        <v>2</v>
      </c>
      <c r="Y106" s="47">
        <f>U106*挂机玩法规划!$O$4*VLOOKUP(E106,挂机玩法规划!$G$2:$I$17,3,FALSE)</f>
        <v>960</v>
      </c>
      <c r="Z106" s="17">
        <f t="shared" si="187"/>
        <v>1.2</v>
      </c>
      <c r="AA106" s="17">
        <f t="shared" si="188"/>
        <v>576</v>
      </c>
      <c r="AB106" s="17">
        <f>(VLOOKUP(V106,物品id!A:E,5,FALSE)*挂机玩法填表!Z106+VLOOKUP(挂机玩法填表!W106,物品id!A:E,5,FALSE)*挂机玩法填表!AA106)/(U106/60)</f>
        <v>33.167999999999999</v>
      </c>
      <c r="AD106" s="17" t="str">
        <f>IF(G106="","",VLOOKUP(G106,物品id!$A:$B,2,FALSE)&amp;",")</f>
        <v>1311,</v>
      </c>
      <c r="AE106" s="17" t="str">
        <f>IF(H106="","",VLOOKUP(H106,物品id!$A:$B,2,FALSE)&amp;",")</f>
        <v>2311,</v>
      </c>
      <c r="AF106" s="17" t="str">
        <f>IF(I106="","",VLOOKUP(I106,物品id!$A:$B,2,FALSE)&amp;",")</f>
        <v>3311,</v>
      </c>
      <c r="AG106" s="47" t="str">
        <f t="shared" si="42"/>
        <v>1311,2311,3311,</v>
      </c>
      <c r="AH106" s="47" t="str">
        <f t="shared" si="43"/>
        <v>[1311,2311,3311]</v>
      </c>
      <c r="AI106" s="17" t="str">
        <f t="shared" si="247"/>
        <v>4,</v>
      </c>
      <c r="AJ106" s="17" t="str">
        <f t="shared" si="248"/>
        <v>4,</v>
      </c>
      <c r="AK106" s="17" t="str">
        <f t="shared" si="249"/>
        <v>4,</v>
      </c>
      <c r="AL106" s="47" t="str">
        <f t="shared" si="44"/>
        <v>4,4,4,</v>
      </c>
      <c r="AM106" s="47" t="str">
        <f t="shared" si="45"/>
        <v>[4,4,4]</v>
      </c>
      <c r="AN106" s="47" t="str">
        <f>VLOOKUP(T106,物品id!$A:$B,2,FALSE)&amp;","</f>
        <v>102,</v>
      </c>
      <c r="AO106" s="17" t="str">
        <f t="shared" si="193"/>
        <v>[102]</v>
      </c>
      <c r="AP106" s="47" t="str">
        <f t="shared" si="184"/>
        <v>240,</v>
      </c>
      <c r="AQ106" s="17" t="str">
        <f t="shared" si="194"/>
        <v>[240]</v>
      </c>
      <c r="AR106" s="47" t="str">
        <f>IF(V106="","",VLOOKUP(V106,物品id!$A:$B,2,FALSE)&amp;",")</f>
        <v>20037,</v>
      </c>
      <c r="AS106" s="47" t="str">
        <f>IF(W106="","",VLOOKUP(W106,物品id!$A:$B,2,FALSE)&amp;",")</f>
        <v>102,</v>
      </c>
      <c r="AT106" s="47" t="str">
        <f t="shared" si="46"/>
        <v>20037,102,</v>
      </c>
      <c r="AU106" s="47" t="str">
        <f t="shared" si="47"/>
        <v>[20037,102]</v>
      </c>
      <c r="AV106" s="47" t="str">
        <f t="shared" si="185"/>
        <v>2,</v>
      </c>
      <c r="AW106" s="47" t="str">
        <f t="shared" si="186"/>
        <v>960,</v>
      </c>
      <c r="AX106" s="47" t="str">
        <f t="shared" si="48"/>
        <v>2,960,</v>
      </c>
      <c r="AY106" s="47" t="str">
        <f t="shared" si="49"/>
        <v>[2,960]</v>
      </c>
    </row>
    <row r="107" spans="1:51" s="47" customFormat="1" x14ac:dyDescent="0.2">
      <c r="A107" s="47">
        <v>3</v>
      </c>
      <c r="B107" s="47" t="s">
        <v>1032</v>
      </c>
      <c r="C107" s="47">
        <v>40</v>
      </c>
      <c r="D107" s="34" t="s">
        <v>1145</v>
      </c>
      <c r="E107" s="47" t="s">
        <v>1030</v>
      </c>
      <c r="F107" s="47">
        <v>3</v>
      </c>
      <c r="G107" s="47" t="s">
        <v>806</v>
      </c>
      <c r="H107" s="47" t="s">
        <v>817</v>
      </c>
      <c r="I107" s="47" t="s">
        <v>827</v>
      </c>
      <c r="J107" s="17">
        <v>0.6</v>
      </c>
      <c r="K107" s="17">
        <v>0.6</v>
      </c>
      <c r="L107" s="17">
        <v>0.6</v>
      </c>
      <c r="M107" s="35">
        <f>(IF(G107="",挂机玩法规划!$L$2,VLOOKUP(G107,物品id!A:D,4,FALSE)*IF(J107=0,1,4))*IF(J107=0,1,J107)+IF(H107="",挂机玩法规划!$L$2,VLOOKUP(H107,物品id!A:D,4,FALSE)*IF(K107=0,1,4))*IF(K107=0,1,K107)+IF(I107="",挂机玩法规划!$L$2,VLOOKUP(I107,物品id!A:D,4,FALSE)*IF(L107=0,1,4))*IF(L107=0,1,L107))/O107</f>
        <v>0.6</v>
      </c>
      <c r="N107" s="44">
        <f>IF(G107="",挂机玩法规划!$L$2,VLOOKUP(G107,物品id!A:D,4,FALSE)*4)+IF(H107="",挂机玩法规划!$L$2,VLOOKUP(H107,物品id!A:D,4,FALSE)*4)+IF(I107="",挂机玩法规划!$L$2,VLOOKUP(I107,物品id!A:D,4,FALSE)*4)</f>
        <v>360</v>
      </c>
      <c r="O107" s="48">
        <v>360</v>
      </c>
      <c r="P107" s="47">
        <v>4</v>
      </c>
      <c r="Q107" s="47">
        <v>4</v>
      </c>
      <c r="R107" s="47">
        <v>4</v>
      </c>
      <c r="S107" s="47">
        <v>480</v>
      </c>
      <c r="T107" s="47" t="s">
        <v>835</v>
      </c>
      <c r="U107" s="47">
        <v>480</v>
      </c>
      <c r="V107" s="47" t="s">
        <v>841</v>
      </c>
      <c r="W107" s="47" t="s">
        <v>200</v>
      </c>
      <c r="X107" s="47">
        <v>3</v>
      </c>
      <c r="Y107" s="47">
        <f>U107*挂机玩法规划!$O$4*VLOOKUP(E107,挂机玩法规划!$G$2:$I$17,3,FALSE)</f>
        <v>1920</v>
      </c>
      <c r="Z107" s="17">
        <f t="shared" si="187"/>
        <v>1.7999999999999998</v>
      </c>
      <c r="AA107" s="17">
        <f t="shared" si="188"/>
        <v>1152</v>
      </c>
      <c r="AB107" s="17">
        <f>(VLOOKUP(V107,物品id!A:E,5,FALSE)*挂机玩法填表!Z107+VLOOKUP(挂机玩法填表!W107,物品id!A:E,5,FALSE)*挂机玩法填表!AA107)/(U107/60)</f>
        <v>25.667999999999996</v>
      </c>
      <c r="AD107" s="17" t="str">
        <f>IF(G107="","",VLOOKUP(G107,物品id!$A:$B,2,FALSE)&amp;",")</f>
        <v>1311,</v>
      </c>
      <c r="AE107" s="17" t="str">
        <f>IF(H107="","",VLOOKUP(H107,物品id!$A:$B,2,FALSE)&amp;",")</f>
        <v>2311,</v>
      </c>
      <c r="AF107" s="17" t="str">
        <f>IF(I107="","",VLOOKUP(I107,物品id!$A:$B,2,FALSE)&amp;",")</f>
        <v>3311,</v>
      </c>
      <c r="AG107" s="47" t="str">
        <f t="shared" si="42"/>
        <v>1311,2311,3311,</v>
      </c>
      <c r="AH107" s="47" t="str">
        <f t="shared" si="43"/>
        <v>[1311,2311,3311]</v>
      </c>
      <c r="AI107" s="17" t="str">
        <f t="shared" si="247"/>
        <v>4,</v>
      </c>
      <c r="AJ107" s="17" t="str">
        <f t="shared" si="248"/>
        <v>4,</v>
      </c>
      <c r="AK107" s="17" t="str">
        <f t="shared" si="249"/>
        <v>4,</v>
      </c>
      <c r="AL107" s="47" t="str">
        <f t="shared" si="44"/>
        <v>4,4,4,</v>
      </c>
      <c r="AM107" s="47" t="str">
        <f t="shared" si="45"/>
        <v>[4,4,4]</v>
      </c>
      <c r="AN107" s="47" t="str">
        <f>VLOOKUP(T107,物品id!$A:$B,2,FALSE)&amp;","</f>
        <v>102,</v>
      </c>
      <c r="AO107" s="17" t="str">
        <f t="shared" si="193"/>
        <v>[102]</v>
      </c>
      <c r="AP107" s="47" t="str">
        <f t="shared" si="184"/>
        <v>480,</v>
      </c>
      <c r="AQ107" s="17" t="str">
        <f t="shared" si="194"/>
        <v>[480]</v>
      </c>
      <c r="AR107" s="47" t="str">
        <f>IF(V107="","",VLOOKUP(V107,物品id!$A:$B,2,FALSE)&amp;",")</f>
        <v>20037,</v>
      </c>
      <c r="AS107" s="47" t="str">
        <f>IF(W107="","",VLOOKUP(W107,物品id!$A:$B,2,FALSE)&amp;",")</f>
        <v>102,</v>
      </c>
      <c r="AT107" s="47" t="str">
        <f t="shared" si="46"/>
        <v>20037,102,</v>
      </c>
      <c r="AU107" s="47" t="str">
        <f t="shared" si="47"/>
        <v>[20037,102]</v>
      </c>
      <c r="AV107" s="47" t="str">
        <f t="shared" si="185"/>
        <v>3,</v>
      </c>
      <c r="AW107" s="47" t="str">
        <f t="shared" si="186"/>
        <v>1920,</v>
      </c>
      <c r="AX107" s="47" t="str">
        <f t="shared" si="48"/>
        <v>3,1920,</v>
      </c>
      <c r="AY107" s="47" t="str">
        <f t="shared" si="49"/>
        <v>[3,1920]</v>
      </c>
    </row>
    <row r="108" spans="1:51" s="47" customFormat="1" x14ac:dyDescent="0.2">
      <c r="A108" s="47">
        <v>4</v>
      </c>
      <c r="B108" s="47" t="s">
        <v>1033</v>
      </c>
      <c r="C108" s="47">
        <v>40</v>
      </c>
      <c r="D108" s="34" t="s">
        <v>1145</v>
      </c>
      <c r="E108" s="47" t="s">
        <v>141</v>
      </c>
      <c r="F108" s="47">
        <v>3</v>
      </c>
      <c r="G108" s="47" t="s">
        <v>806</v>
      </c>
      <c r="H108" s="47" t="s">
        <v>817</v>
      </c>
      <c r="I108" s="47" t="s">
        <v>827</v>
      </c>
      <c r="J108" s="17">
        <v>0.6</v>
      </c>
      <c r="K108" s="17">
        <v>0.6</v>
      </c>
      <c r="L108" s="17">
        <v>0.6</v>
      </c>
      <c r="M108" s="35">
        <f>(IF(G108="",挂机玩法规划!$L$2,VLOOKUP(G108,物品id!A:D,4,FALSE)*IF(J108=0,1,4))*IF(J108=0,1,J108)+IF(H108="",挂机玩法规划!$L$2,VLOOKUP(H108,物品id!A:D,4,FALSE)*IF(K108=0,1,4))*IF(K108=0,1,K108)+IF(I108="",挂机玩法规划!$L$2,VLOOKUP(I108,物品id!A:D,4,FALSE)*IF(L108=0,1,4))*IF(L108=0,1,L108))/O108</f>
        <v>0.6</v>
      </c>
      <c r="N108" s="44">
        <f>IF(G108="",挂机玩法规划!$L$2,VLOOKUP(G108,物品id!A:D,4,FALSE)*4)+IF(H108="",挂机玩法规划!$L$2,VLOOKUP(H108,物品id!A:D,4,FALSE)*4)+IF(I108="",挂机玩法规划!$L$2,VLOOKUP(I108,物品id!A:D,4,FALSE)*4)</f>
        <v>360</v>
      </c>
      <c r="O108" s="48">
        <v>360</v>
      </c>
      <c r="P108" s="47">
        <v>4</v>
      </c>
      <c r="Q108" s="47">
        <v>4</v>
      </c>
      <c r="R108" s="47">
        <v>4</v>
      </c>
      <c r="S108" s="47">
        <v>720</v>
      </c>
      <c r="T108" s="47" t="s">
        <v>835</v>
      </c>
      <c r="U108" s="47">
        <v>720</v>
      </c>
      <c r="V108" s="47" t="s">
        <v>837</v>
      </c>
      <c r="W108" s="47" t="s">
        <v>200</v>
      </c>
      <c r="X108" s="47">
        <v>4</v>
      </c>
      <c r="Y108" s="47">
        <f>U108*挂机玩法规划!$O$4*VLOOKUP(E108,挂机玩法规划!$G$2:$I$17,3,FALSE)</f>
        <v>2880</v>
      </c>
      <c r="Z108" s="17">
        <f t="shared" si="187"/>
        <v>2.4</v>
      </c>
      <c r="AA108" s="17">
        <f t="shared" si="188"/>
        <v>1728</v>
      </c>
      <c r="AB108" s="17">
        <f>(VLOOKUP(V108,物品id!A:E,5,FALSE)*挂机玩法填表!Z108+VLOOKUP(挂机玩法填表!W108,物品id!A:E,5,FALSE)*挂机玩法填表!AA108)/(U108/60)</f>
        <v>27.168000000000003</v>
      </c>
      <c r="AD108" s="47" t="str">
        <f>IF(G108="","",VLOOKUP(G108,物品id!$A:$B,2,FALSE)&amp;",")</f>
        <v>1311,</v>
      </c>
      <c r="AE108" s="47" t="str">
        <f>IF(H108="","",VLOOKUP(H108,物品id!$A:$B,2,FALSE)&amp;",")</f>
        <v>2311,</v>
      </c>
      <c r="AF108" s="47" t="str">
        <f>IF(I108="","",VLOOKUP(I108,物品id!$A:$B,2,FALSE)&amp;",")</f>
        <v>3311,</v>
      </c>
      <c r="AG108" s="47" t="str">
        <f>AD108&amp;AE108&amp;AF108</f>
        <v>1311,2311,3311,</v>
      </c>
      <c r="AH108" s="47" t="str">
        <f>"["&amp;LEFT(AG108,LEN(AG108)-1)&amp;"]"</f>
        <v>[1311,2311,3311]</v>
      </c>
      <c r="AI108" s="17" t="str">
        <f t="shared" si="247"/>
        <v>4,</v>
      </c>
      <c r="AJ108" s="17" t="str">
        <f t="shared" si="248"/>
        <v>4,</v>
      </c>
      <c r="AK108" s="17" t="str">
        <f t="shared" si="249"/>
        <v>4,</v>
      </c>
      <c r="AL108" s="47" t="str">
        <f>AI108&amp;AJ108&amp;AK108</f>
        <v>4,4,4,</v>
      </c>
      <c r="AM108" s="47" t="str">
        <f>"["&amp;LEFT(AL108,LEN(AL108)-1)&amp;"]"</f>
        <v>[4,4,4]</v>
      </c>
      <c r="AN108" s="47" t="str">
        <f>VLOOKUP(T108,物品id!$A:$B,2,FALSE)&amp;","</f>
        <v>102,</v>
      </c>
      <c r="AO108" s="17" t="str">
        <f t="shared" si="193"/>
        <v>[102]</v>
      </c>
      <c r="AP108" s="47" t="str">
        <f t="shared" si="184"/>
        <v>720,</v>
      </c>
      <c r="AQ108" s="17" t="str">
        <f t="shared" si="194"/>
        <v>[720]</v>
      </c>
      <c r="AR108" s="47" t="str">
        <f>IF(V108="","",VLOOKUP(V108,物品id!$A:$B,2,FALSE)&amp;",")</f>
        <v>20033,</v>
      </c>
      <c r="AS108" s="47" t="str">
        <f>IF(W108="","",VLOOKUP(W108,物品id!$A:$B,2,FALSE)&amp;",")</f>
        <v>102,</v>
      </c>
      <c r="AT108" s="47" t="str">
        <f>AR108&amp;AS108</f>
        <v>20033,102,</v>
      </c>
      <c r="AU108" s="47" t="str">
        <f>"["&amp;LEFT(AT108,LEN(AT108)-1)&amp;"]"</f>
        <v>[20033,102]</v>
      </c>
      <c r="AV108" s="47" t="str">
        <f t="shared" si="185"/>
        <v>4,</v>
      </c>
      <c r="AW108" s="47" t="str">
        <f t="shared" si="186"/>
        <v>2880,</v>
      </c>
      <c r="AX108" s="47" t="str">
        <f>AV108&amp;AW108</f>
        <v>4,2880,</v>
      </c>
      <c r="AY108" s="47" t="str">
        <f>"["&amp;LEFT(AX108,LEN(AX108)-1)&amp;"]"</f>
        <v>[4,2880]</v>
      </c>
    </row>
    <row r="109" spans="1:51" s="47" customFormat="1" x14ac:dyDescent="0.2">
      <c r="A109" s="47">
        <v>5</v>
      </c>
      <c r="B109" s="47" t="s">
        <v>1033</v>
      </c>
      <c r="C109" s="47">
        <v>41</v>
      </c>
      <c r="D109" s="34" t="s">
        <v>1146</v>
      </c>
      <c r="E109" s="47" t="s">
        <v>1017</v>
      </c>
      <c r="F109" s="47">
        <v>3</v>
      </c>
      <c r="G109" s="47" t="s">
        <v>806</v>
      </c>
      <c r="H109" s="47" t="s">
        <v>807</v>
      </c>
      <c r="J109" s="17">
        <v>0.6</v>
      </c>
      <c r="K109" s="17">
        <v>0</v>
      </c>
      <c r="L109" s="17">
        <v>1</v>
      </c>
      <c r="M109" s="35">
        <f>(IF(G109="",挂机玩法规划!$L$2,VLOOKUP(G109,物品id!A:D,4,FALSE)*IF(J109=0,1,4))*IF(J109=0,1,J109)+IF(H109="",挂机玩法规划!$L$2,VLOOKUP(H109,物品id!A:D,4,FALSE)*IF(K109=0,1,4))*IF(K109=0,1,K109)+IF(I109="",挂机玩法规划!$L$2,VLOOKUP(I109,物品id!A:D,4,FALSE)*IF(L109=0,1,4))*IF(L109=0,1,L109))/O109</f>
        <v>0.44800000000000001</v>
      </c>
      <c r="N109" s="44">
        <f>IF(G109="",挂机玩法规划!$L$2,VLOOKUP(G109,物品id!A:D,4,FALSE)*4)+IF(H109="",挂机玩法规划!$L$2,VLOOKUP(H109,物品id!A:D,4,FALSE)*4)+IF(I109="",挂机玩法规划!$L$2,VLOOKUP(I109,物品id!A:D,4,FALSE)*4)</f>
        <v>250</v>
      </c>
      <c r="O109" s="48">
        <v>250</v>
      </c>
      <c r="P109" s="47">
        <v>4</v>
      </c>
      <c r="Q109" s="47">
        <v>3</v>
      </c>
      <c r="R109" s="47" t="s">
        <v>1131</v>
      </c>
      <c r="S109" s="47">
        <v>120</v>
      </c>
      <c r="T109" s="47" t="s">
        <v>835</v>
      </c>
      <c r="U109" s="47">
        <v>120</v>
      </c>
      <c r="V109" s="47" t="s">
        <v>1047</v>
      </c>
      <c r="W109" s="47" t="s">
        <v>200</v>
      </c>
      <c r="X109" s="47">
        <v>1</v>
      </c>
      <c r="Y109" s="47">
        <f>U109*挂机玩法规划!$O$4*VLOOKUP(E109,挂机玩法规划!$G$2:$I$17,3,FALSE)</f>
        <v>720</v>
      </c>
      <c r="Z109" s="17">
        <f t="shared" si="187"/>
        <v>0.44800000000000001</v>
      </c>
      <c r="AA109" s="17">
        <f t="shared" si="188"/>
        <v>322.56</v>
      </c>
      <c r="AB109" s="17">
        <f>(VLOOKUP(V109,物品id!A:E,5,FALSE)*挂机玩法填表!Z109+VLOOKUP(挂机玩法填表!W109,物品id!A:E,5,FALSE)*挂机玩法填表!AA109)/(U109/60)</f>
        <v>30.428159999999998</v>
      </c>
      <c r="AD109" s="47" t="str">
        <f>IF(G109="","",VLOOKUP(G109,物品id!$A:$B,2,FALSE)&amp;",")</f>
        <v>1311,</v>
      </c>
      <c r="AE109" s="47" t="str">
        <f>IF(H109="","",VLOOKUP(H109,物品id!$A:$B,2,FALSE)&amp;",")</f>
        <v>1321,</v>
      </c>
      <c r="AF109" s="47" t="str">
        <f>IF(I109="","",VLOOKUP(I109,物品id!$A:$B,2,FALSE)&amp;",")</f>
        <v/>
      </c>
      <c r="AG109" s="47" t="str">
        <f t="shared" ref="AG109:AG118" si="250">AD109&amp;AE109&amp;AF109</f>
        <v>1311,1321,</v>
      </c>
      <c r="AH109" s="47" t="str">
        <f t="shared" ref="AH109:AH118" si="251">"["&amp;LEFT(AG109,LEN(AG109)-1)&amp;"]"</f>
        <v>[1311,1321]</v>
      </c>
      <c r="AI109" s="17" t="str">
        <f t="shared" si="247"/>
        <v>4,</v>
      </c>
      <c r="AJ109" s="17" t="str">
        <f t="shared" si="248"/>
        <v>3,</v>
      </c>
      <c r="AK109" s="17" t="str">
        <f t="shared" si="249"/>
        <v/>
      </c>
      <c r="AL109" s="47" t="str">
        <f t="shared" ref="AL109:AL118" si="252">AI109&amp;AJ109&amp;AK109</f>
        <v>4,3,</v>
      </c>
      <c r="AM109" s="47" t="str">
        <f t="shared" ref="AM109:AM118" si="253">"["&amp;LEFT(AL109,LEN(AL109)-1)&amp;"]"</f>
        <v>[4,3]</v>
      </c>
      <c r="AN109" s="47" t="str">
        <f>VLOOKUP(T109,物品id!$A:$B,2,FALSE)&amp;","</f>
        <v>102,</v>
      </c>
      <c r="AO109" s="17" t="str">
        <f t="shared" si="193"/>
        <v>[102]</v>
      </c>
      <c r="AP109" s="47" t="str">
        <f t="shared" si="184"/>
        <v>120,</v>
      </c>
      <c r="AQ109" s="17" t="str">
        <f t="shared" si="194"/>
        <v>[120]</v>
      </c>
      <c r="AR109" s="47" t="str">
        <f>IF(V109="","",VLOOKUP(V109,物品id!$A:$B,2,FALSE)&amp;",")</f>
        <v>20033,</v>
      </c>
      <c r="AS109" s="47" t="str">
        <f>IF(W109="","",VLOOKUP(W109,物品id!$A:$B,2,FALSE)&amp;",")</f>
        <v>102,</v>
      </c>
      <c r="AT109" s="47" t="str">
        <f t="shared" ref="AT109:AT118" si="254">AR109&amp;AS109</f>
        <v>20033,102,</v>
      </c>
      <c r="AU109" s="47" t="str">
        <f t="shared" ref="AU109:AU118" si="255">"["&amp;LEFT(AT109,LEN(AT109)-1)&amp;"]"</f>
        <v>[20033,102]</v>
      </c>
      <c r="AV109" s="47" t="str">
        <f t="shared" si="185"/>
        <v>1,</v>
      </c>
      <c r="AW109" s="47" t="str">
        <f t="shared" si="186"/>
        <v>720,</v>
      </c>
      <c r="AX109" s="47" t="str">
        <f t="shared" ref="AX109:AX118" si="256">AV109&amp;AW109</f>
        <v>1,720,</v>
      </c>
      <c r="AY109" s="47" t="str">
        <f t="shared" ref="AY109:AY118" si="257">"["&amp;LEFT(AX109,LEN(AX109)-1)&amp;"]"</f>
        <v>[1,720]</v>
      </c>
    </row>
    <row r="110" spans="1:51" s="47" customFormat="1" x14ac:dyDescent="0.2">
      <c r="A110" s="47">
        <v>5</v>
      </c>
      <c r="B110" s="47" t="s">
        <v>1033</v>
      </c>
      <c r="C110" s="47">
        <v>41</v>
      </c>
      <c r="D110" s="34" t="s">
        <v>1146</v>
      </c>
      <c r="E110" s="47" t="s">
        <v>1017</v>
      </c>
      <c r="F110" s="47">
        <v>3</v>
      </c>
      <c r="G110" s="47" t="s">
        <v>817</v>
      </c>
      <c r="H110" s="47" t="s">
        <v>818</v>
      </c>
      <c r="J110" s="17">
        <v>0.6</v>
      </c>
      <c r="K110" s="17">
        <v>0</v>
      </c>
      <c r="L110" s="17">
        <v>1</v>
      </c>
      <c r="M110" s="35">
        <f>(IF(G110="",挂机玩法规划!$L$2,VLOOKUP(G110,物品id!A:D,4,FALSE)*IF(J110=0,1,4))*IF(J110=0,1,J110)+IF(H110="",挂机玩法规划!$L$2,VLOOKUP(H110,物品id!A:D,4,FALSE)*IF(K110=0,1,4))*IF(K110=0,1,K110)+IF(I110="",挂机玩法规划!$L$2,VLOOKUP(I110,物品id!A:D,4,FALSE)*IF(L110=0,1,4))*IF(L110=0,1,L110))/O110</f>
        <v>0.44800000000000001</v>
      </c>
      <c r="N110" s="44">
        <f>IF(G110="",挂机玩法规划!$L$2,VLOOKUP(G110,物品id!A:D,4,FALSE)*4)+IF(H110="",挂机玩法规划!$L$2,VLOOKUP(H110,物品id!A:D,4,FALSE)*4)+IF(I110="",挂机玩法规划!$L$2,VLOOKUP(I110,物品id!A:D,4,FALSE)*4)</f>
        <v>250</v>
      </c>
      <c r="O110" s="48">
        <v>250</v>
      </c>
      <c r="P110" s="47">
        <v>4</v>
      </c>
      <c r="Q110" s="47">
        <v>3</v>
      </c>
      <c r="R110" s="47" t="s">
        <v>1131</v>
      </c>
      <c r="S110" s="47">
        <v>120</v>
      </c>
      <c r="T110" s="47" t="s">
        <v>835</v>
      </c>
      <c r="U110" s="47">
        <v>120</v>
      </c>
      <c r="V110" s="47" t="s">
        <v>1047</v>
      </c>
      <c r="W110" s="47" t="s">
        <v>200</v>
      </c>
      <c r="X110" s="47">
        <v>1</v>
      </c>
      <c r="Y110" s="47">
        <f>U110*挂机玩法规划!$O$4*VLOOKUP(E110,挂机玩法规划!$G$2:$I$17,3,FALSE)</f>
        <v>720</v>
      </c>
      <c r="Z110" s="17">
        <f t="shared" si="187"/>
        <v>0.44800000000000001</v>
      </c>
      <c r="AA110" s="17">
        <f t="shared" si="188"/>
        <v>322.56</v>
      </c>
      <c r="AB110" s="17">
        <f>(VLOOKUP(V110,物品id!A:E,5,FALSE)*挂机玩法填表!Z110+VLOOKUP(挂机玩法填表!W110,物品id!A:E,5,FALSE)*挂机玩法填表!AA110)/(U110/60)</f>
        <v>30.428159999999998</v>
      </c>
      <c r="AD110" s="47" t="str">
        <f>IF(G110="","",VLOOKUP(G110,物品id!$A:$B,2,FALSE)&amp;",")</f>
        <v>2311,</v>
      </c>
      <c r="AE110" s="47" t="str">
        <f>IF(H110="","",VLOOKUP(H110,物品id!$A:$B,2,FALSE)&amp;",")</f>
        <v>2321,</v>
      </c>
      <c r="AF110" s="47" t="str">
        <f>IF(I110="","",VLOOKUP(I110,物品id!$A:$B,2,FALSE)&amp;",")</f>
        <v/>
      </c>
      <c r="AG110" s="47" t="str">
        <f t="shared" si="250"/>
        <v>2311,2321,</v>
      </c>
      <c r="AH110" s="47" t="str">
        <f t="shared" si="251"/>
        <v>[2311,2321]</v>
      </c>
      <c r="AI110" s="17" t="str">
        <f t="shared" si="247"/>
        <v>4,</v>
      </c>
      <c r="AJ110" s="17" t="str">
        <f t="shared" si="248"/>
        <v>3,</v>
      </c>
      <c r="AK110" s="17" t="str">
        <f t="shared" si="249"/>
        <v/>
      </c>
      <c r="AL110" s="47" t="str">
        <f t="shared" si="252"/>
        <v>4,3,</v>
      </c>
      <c r="AM110" s="47" t="str">
        <f t="shared" si="253"/>
        <v>[4,3]</v>
      </c>
      <c r="AN110" s="47" t="str">
        <f>VLOOKUP(T110,物品id!$A:$B,2,FALSE)&amp;","</f>
        <v>102,</v>
      </c>
      <c r="AO110" s="17" t="str">
        <f t="shared" si="193"/>
        <v>[102]</v>
      </c>
      <c r="AP110" s="47" t="str">
        <f t="shared" si="184"/>
        <v>120,</v>
      </c>
      <c r="AQ110" s="17" t="str">
        <f t="shared" si="194"/>
        <v>[120]</v>
      </c>
      <c r="AR110" s="47" t="str">
        <f>IF(V110="","",VLOOKUP(V110,物品id!$A:$B,2,FALSE)&amp;",")</f>
        <v>20033,</v>
      </c>
      <c r="AS110" s="47" t="str">
        <f>IF(W110="","",VLOOKUP(W110,物品id!$A:$B,2,FALSE)&amp;",")</f>
        <v>102,</v>
      </c>
      <c r="AT110" s="47" t="str">
        <f t="shared" si="254"/>
        <v>20033,102,</v>
      </c>
      <c r="AU110" s="47" t="str">
        <f t="shared" si="255"/>
        <v>[20033,102]</v>
      </c>
      <c r="AV110" s="47" t="str">
        <f t="shared" si="185"/>
        <v>1,</v>
      </c>
      <c r="AW110" s="47" t="str">
        <f t="shared" si="186"/>
        <v>720,</v>
      </c>
      <c r="AX110" s="47" t="str">
        <f t="shared" si="256"/>
        <v>1,720,</v>
      </c>
      <c r="AY110" s="47" t="str">
        <f t="shared" si="257"/>
        <v>[1,720]</v>
      </c>
    </row>
    <row r="111" spans="1:51" s="47" customFormat="1" x14ac:dyDescent="0.2">
      <c r="A111" s="47">
        <v>5</v>
      </c>
      <c r="B111" s="47" t="s">
        <v>1033</v>
      </c>
      <c r="C111" s="47">
        <v>41</v>
      </c>
      <c r="D111" s="34" t="s">
        <v>1146</v>
      </c>
      <c r="E111" s="47" t="s">
        <v>1017</v>
      </c>
      <c r="F111" s="47">
        <v>3</v>
      </c>
      <c r="G111" s="47" t="s">
        <v>827</v>
      </c>
      <c r="H111" s="47" t="s">
        <v>828</v>
      </c>
      <c r="J111" s="17">
        <v>0.6</v>
      </c>
      <c r="K111" s="17">
        <v>0</v>
      </c>
      <c r="L111" s="17">
        <v>1</v>
      </c>
      <c r="M111" s="35">
        <f>(IF(G111="",挂机玩法规划!$L$2,VLOOKUP(G111,物品id!A:D,4,FALSE)*IF(J111=0,1,4))*IF(J111=0,1,J111)+IF(H111="",挂机玩法规划!$L$2,VLOOKUP(H111,物品id!A:D,4,FALSE)*IF(K111=0,1,4))*IF(K111=0,1,K111)+IF(I111="",挂机玩法规划!$L$2,VLOOKUP(I111,物品id!A:D,4,FALSE)*IF(L111=0,1,4))*IF(L111=0,1,L111))/O111</f>
        <v>0.44800000000000001</v>
      </c>
      <c r="N111" s="44">
        <f>IF(G111="",挂机玩法规划!$L$2,VLOOKUP(G111,物品id!A:D,4,FALSE)*4)+IF(H111="",挂机玩法规划!$L$2,VLOOKUP(H111,物品id!A:D,4,FALSE)*4)+IF(I111="",挂机玩法规划!$L$2,VLOOKUP(I111,物品id!A:D,4,FALSE)*4)</f>
        <v>250</v>
      </c>
      <c r="O111" s="48">
        <v>250</v>
      </c>
      <c r="P111" s="47">
        <v>4</v>
      </c>
      <c r="Q111" s="47">
        <v>3</v>
      </c>
      <c r="R111" s="47" t="s">
        <v>1131</v>
      </c>
      <c r="S111" s="47">
        <v>120</v>
      </c>
      <c r="T111" s="47" t="s">
        <v>835</v>
      </c>
      <c r="U111" s="47">
        <v>120</v>
      </c>
      <c r="V111" s="47" t="s">
        <v>1047</v>
      </c>
      <c r="W111" s="47" t="s">
        <v>200</v>
      </c>
      <c r="X111" s="47">
        <v>1</v>
      </c>
      <c r="Y111" s="47">
        <f>U111*挂机玩法规划!$O$4*VLOOKUP(E111,挂机玩法规划!$G$2:$I$17,3,FALSE)</f>
        <v>720</v>
      </c>
      <c r="Z111" s="17">
        <f t="shared" si="187"/>
        <v>0.44800000000000001</v>
      </c>
      <c r="AA111" s="17">
        <f t="shared" si="188"/>
        <v>322.56</v>
      </c>
      <c r="AB111" s="17">
        <f>(VLOOKUP(V111,物品id!A:E,5,FALSE)*挂机玩法填表!Z111+VLOOKUP(挂机玩法填表!W111,物品id!A:E,5,FALSE)*挂机玩法填表!AA111)/(U111/60)</f>
        <v>30.428159999999998</v>
      </c>
      <c r="AD111" s="47" t="str">
        <f>IF(G111="","",VLOOKUP(G111,物品id!$A:$B,2,FALSE)&amp;",")</f>
        <v>3311,</v>
      </c>
      <c r="AE111" s="47" t="str">
        <f>IF(H111="","",VLOOKUP(H111,物品id!$A:$B,2,FALSE)&amp;",")</f>
        <v>3321,</v>
      </c>
      <c r="AF111" s="47" t="str">
        <f>IF(I111="","",VLOOKUP(I111,物品id!$A:$B,2,FALSE)&amp;",")</f>
        <v/>
      </c>
      <c r="AG111" s="47" t="str">
        <f t="shared" si="250"/>
        <v>3311,3321,</v>
      </c>
      <c r="AH111" s="47" t="str">
        <f t="shared" si="251"/>
        <v>[3311,3321]</v>
      </c>
      <c r="AI111" s="17" t="str">
        <f t="shared" si="247"/>
        <v>4,</v>
      </c>
      <c r="AJ111" s="17" t="str">
        <f t="shared" si="248"/>
        <v>3,</v>
      </c>
      <c r="AK111" s="17" t="str">
        <f t="shared" si="249"/>
        <v/>
      </c>
      <c r="AL111" s="47" t="str">
        <f t="shared" si="252"/>
        <v>4,3,</v>
      </c>
      <c r="AM111" s="47" t="str">
        <f t="shared" si="253"/>
        <v>[4,3]</v>
      </c>
      <c r="AN111" s="47" t="str">
        <f>VLOOKUP(T111,物品id!$A:$B,2,FALSE)&amp;","</f>
        <v>102,</v>
      </c>
      <c r="AO111" s="17" t="str">
        <f t="shared" si="193"/>
        <v>[102]</v>
      </c>
      <c r="AP111" s="47" t="str">
        <f t="shared" si="184"/>
        <v>120,</v>
      </c>
      <c r="AQ111" s="17" t="str">
        <f t="shared" si="194"/>
        <v>[120]</v>
      </c>
      <c r="AR111" s="47" t="str">
        <f>IF(V111="","",VLOOKUP(V111,物品id!$A:$B,2,FALSE)&amp;",")</f>
        <v>20033,</v>
      </c>
      <c r="AS111" s="47" t="str">
        <f>IF(W111="","",VLOOKUP(W111,物品id!$A:$B,2,FALSE)&amp;",")</f>
        <v>102,</v>
      </c>
      <c r="AT111" s="47" t="str">
        <f t="shared" si="254"/>
        <v>20033,102,</v>
      </c>
      <c r="AU111" s="47" t="str">
        <f t="shared" si="255"/>
        <v>[20033,102]</v>
      </c>
      <c r="AV111" s="47" t="str">
        <f t="shared" si="185"/>
        <v>1,</v>
      </c>
      <c r="AW111" s="47" t="str">
        <f t="shared" si="186"/>
        <v>720,</v>
      </c>
      <c r="AX111" s="47" t="str">
        <f t="shared" si="256"/>
        <v>1,720,</v>
      </c>
      <c r="AY111" s="47" t="str">
        <f t="shared" si="257"/>
        <v>[1,720]</v>
      </c>
    </row>
    <row r="112" spans="1:51" s="47" customFormat="1" x14ac:dyDescent="0.2">
      <c r="A112" s="47">
        <v>5</v>
      </c>
      <c r="B112" s="47" t="s">
        <v>1033</v>
      </c>
      <c r="C112" s="47">
        <v>42</v>
      </c>
      <c r="D112" s="34" t="s">
        <v>1147</v>
      </c>
      <c r="E112" s="47" t="s">
        <v>1017</v>
      </c>
      <c r="F112" s="47">
        <v>3</v>
      </c>
      <c r="G112" s="47" t="s">
        <v>804</v>
      </c>
      <c r="H112" s="47" t="s">
        <v>806</v>
      </c>
      <c r="I112" s="47" t="s">
        <v>807</v>
      </c>
      <c r="J112" s="17">
        <v>1</v>
      </c>
      <c r="K112" s="17">
        <v>0.8</v>
      </c>
      <c r="L112" s="17">
        <v>0</v>
      </c>
      <c r="M112" s="35">
        <f>(IF(G112="",挂机玩法规划!$L$2,VLOOKUP(G112,物品id!A:D,4,FALSE)*IF(J112=0,1,4))*IF(J112=0,1,J112)+IF(H112="",挂机玩法规划!$L$2,VLOOKUP(H112,物品id!A:D,4,FALSE)*IF(K112=0,1,4))*IF(K112=0,1,K112)+IF(I112="",挂机玩法规划!$L$2,VLOOKUP(I112,物品id!A:D,4,FALSE)*IF(L112=0,1,4))*IF(L112=0,1,L112))/O112</f>
        <v>0.64375000000000004</v>
      </c>
      <c r="N112" s="44">
        <f>IF(G112="",挂机玩法规划!$L$2,VLOOKUP(G112,物品id!A:D,4,FALSE)*4)+IF(H112="",挂机玩法规划!$L$2,VLOOKUP(H112,物品id!A:D,4,FALSE)*4)+IF(I112="",挂机玩法规划!$L$2,VLOOKUP(I112,物品id!A:D,4,FALSE)*4)</f>
        <v>320</v>
      </c>
      <c r="O112" s="48">
        <v>320</v>
      </c>
      <c r="P112" s="47">
        <v>4</v>
      </c>
      <c r="Q112" s="47">
        <v>4</v>
      </c>
      <c r="R112" s="47">
        <v>3</v>
      </c>
      <c r="S112" s="47">
        <v>240</v>
      </c>
      <c r="T112" s="47" t="s">
        <v>835</v>
      </c>
      <c r="U112" s="47">
        <v>240</v>
      </c>
      <c r="V112" s="47" t="s">
        <v>837</v>
      </c>
      <c r="W112" s="47" t="s">
        <v>200</v>
      </c>
      <c r="X112" s="47">
        <v>2</v>
      </c>
      <c r="Y112" s="47">
        <f>U112*挂机玩法规划!$O$4*VLOOKUP(E112,挂机玩法规划!$G$2:$I$17,3,FALSE)</f>
        <v>1440</v>
      </c>
      <c r="Z112" s="17">
        <f t="shared" si="187"/>
        <v>1.2875000000000001</v>
      </c>
      <c r="AA112" s="17">
        <f t="shared" si="188"/>
        <v>927.00000000000011</v>
      </c>
      <c r="AB112" s="17">
        <f>(VLOOKUP(V112,物品id!A:E,5,FALSE)*挂机玩法填表!Z112+VLOOKUP(挂机玩法填表!W112,物品id!A:E,5,FALSE)*挂机玩法填表!AA112)/(U112/60)</f>
        <v>43.723500000000001</v>
      </c>
      <c r="AD112" s="47" t="str">
        <f>IF(G112="","",VLOOKUP(G112,物品id!$A:$B,2,FALSE)&amp;",")</f>
        <v>1211,</v>
      </c>
      <c r="AE112" s="47" t="str">
        <f>IF(H112="","",VLOOKUP(H112,物品id!$A:$B,2,FALSE)&amp;",")</f>
        <v>1311,</v>
      </c>
      <c r="AF112" s="47" t="str">
        <f>IF(I112="","",VLOOKUP(I112,物品id!$A:$B,2,FALSE)&amp;",")</f>
        <v>1321,</v>
      </c>
      <c r="AG112" s="47" t="str">
        <f t="shared" si="250"/>
        <v>1211,1311,1321,</v>
      </c>
      <c r="AH112" s="47" t="str">
        <f t="shared" si="251"/>
        <v>[1211,1311,1321]</v>
      </c>
      <c r="AI112" s="17" t="str">
        <f t="shared" si="247"/>
        <v>4,</v>
      </c>
      <c r="AJ112" s="17" t="str">
        <f t="shared" si="248"/>
        <v>4,</v>
      </c>
      <c r="AK112" s="17" t="str">
        <f t="shared" si="249"/>
        <v>3,</v>
      </c>
      <c r="AL112" s="47" t="str">
        <f t="shared" si="252"/>
        <v>4,4,3,</v>
      </c>
      <c r="AM112" s="47" t="str">
        <f t="shared" si="253"/>
        <v>[4,4,3]</v>
      </c>
      <c r="AN112" s="47" t="str">
        <f>VLOOKUP(T112,物品id!$A:$B,2,FALSE)&amp;","</f>
        <v>102,</v>
      </c>
      <c r="AO112" s="17" t="str">
        <f t="shared" si="193"/>
        <v>[102]</v>
      </c>
      <c r="AP112" s="47" t="str">
        <f t="shared" si="184"/>
        <v>240,</v>
      </c>
      <c r="AQ112" s="17" t="str">
        <f t="shared" si="194"/>
        <v>[240]</v>
      </c>
      <c r="AR112" s="47" t="str">
        <f>IF(V112="","",VLOOKUP(V112,物品id!$A:$B,2,FALSE)&amp;",")</f>
        <v>20033,</v>
      </c>
      <c r="AS112" s="47" t="str">
        <f>IF(W112="","",VLOOKUP(W112,物品id!$A:$B,2,FALSE)&amp;",")</f>
        <v>102,</v>
      </c>
      <c r="AT112" s="47" t="str">
        <f t="shared" si="254"/>
        <v>20033,102,</v>
      </c>
      <c r="AU112" s="47" t="str">
        <f t="shared" si="255"/>
        <v>[20033,102]</v>
      </c>
      <c r="AV112" s="47" t="str">
        <f t="shared" si="185"/>
        <v>2,</v>
      </c>
      <c r="AW112" s="47" t="str">
        <f t="shared" si="186"/>
        <v>1440,</v>
      </c>
      <c r="AX112" s="47" t="str">
        <f t="shared" si="256"/>
        <v>2,1440,</v>
      </c>
      <c r="AY112" s="47" t="str">
        <f t="shared" si="257"/>
        <v>[2,1440]</v>
      </c>
    </row>
    <row r="113" spans="1:51" s="47" customFormat="1" x14ac:dyDescent="0.2">
      <c r="A113" s="47">
        <v>5</v>
      </c>
      <c r="B113" s="47" t="s">
        <v>1033</v>
      </c>
      <c r="C113" s="47">
        <v>42</v>
      </c>
      <c r="D113" s="34" t="s">
        <v>1147</v>
      </c>
      <c r="E113" s="47" t="s">
        <v>1017</v>
      </c>
      <c r="F113" s="47">
        <v>3</v>
      </c>
      <c r="G113" s="47" t="s">
        <v>815</v>
      </c>
      <c r="H113" s="47" t="s">
        <v>817</v>
      </c>
      <c r="I113" s="47" t="s">
        <v>818</v>
      </c>
      <c r="J113" s="17">
        <v>1</v>
      </c>
      <c r="K113" s="17">
        <v>0.8</v>
      </c>
      <c r="L113" s="17">
        <v>0</v>
      </c>
      <c r="M113" s="35">
        <f>(IF(G113="",挂机玩法规划!$L$2,VLOOKUP(G113,物品id!A:D,4,FALSE)*IF(J113=0,1,4))*IF(J113=0,1,J113)+IF(H113="",挂机玩法规划!$L$2,VLOOKUP(H113,物品id!A:D,4,FALSE)*IF(K113=0,1,4))*IF(K113=0,1,K113)+IF(I113="",挂机玩法规划!$L$2,VLOOKUP(I113,物品id!A:D,4,FALSE)*IF(L113=0,1,4))*IF(L113=0,1,L113))/O113</f>
        <v>0.64375000000000004</v>
      </c>
      <c r="N113" s="44">
        <f>IF(G113="",挂机玩法规划!$L$2,VLOOKUP(G113,物品id!A:D,4,FALSE)*4)+IF(H113="",挂机玩法规划!$L$2,VLOOKUP(H113,物品id!A:D,4,FALSE)*4)+IF(I113="",挂机玩法规划!$L$2,VLOOKUP(I113,物品id!A:D,4,FALSE)*4)</f>
        <v>320</v>
      </c>
      <c r="O113" s="48">
        <v>320</v>
      </c>
      <c r="P113" s="47">
        <v>4</v>
      </c>
      <c r="Q113" s="47">
        <v>4</v>
      </c>
      <c r="R113" s="47">
        <v>3</v>
      </c>
      <c r="S113" s="47">
        <v>240</v>
      </c>
      <c r="T113" s="47" t="s">
        <v>835</v>
      </c>
      <c r="U113" s="47">
        <v>240</v>
      </c>
      <c r="V113" s="47" t="s">
        <v>837</v>
      </c>
      <c r="W113" s="47" t="s">
        <v>200</v>
      </c>
      <c r="X113" s="47">
        <v>2</v>
      </c>
      <c r="Y113" s="47">
        <f>U113*挂机玩法规划!$O$4*VLOOKUP(E113,挂机玩法规划!$G$2:$I$17,3,FALSE)</f>
        <v>1440</v>
      </c>
      <c r="Z113" s="17">
        <f t="shared" si="187"/>
        <v>1.2875000000000001</v>
      </c>
      <c r="AA113" s="17">
        <f t="shared" si="188"/>
        <v>927.00000000000011</v>
      </c>
      <c r="AB113" s="17">
        <f>(VLOOKUP(V113,物品id!A:E,5,FALSE)*挂机玩法填表!Z113+VLOOKUP(挂机玩法填表!W113,物品id!A:E,5,FALSE)*挂机玩法填表!AA113)/(U113/60)</f>
        <v>43.723500000000001</v>
      </c>
      <c r="AD113" s="47" t="str">
        <f>IF(G113="","",VLOOKUP(G113,物品id!$A:$B,2,FALSE)&amp;",")</f>
        <v>2211,</v>
      </c>
      <c r="AE113" s="47" t="str">
        <f>IF(H113="","",VLOOKUP(H113,物品id!$A:$B,2,FALSE)&amp;",")</f>
        <v>2311,</v>
      </c>
      <c r="AF113" s="47" t="str">
        <f>IF(I113="","",VLOOKUP(I113,物品id!$A:$B,2,FALSE)&amp;",")</f>
        <v>2321,</v>
      </c>
      <c r="AG113" s="47" t="str">
        <f t="shared" si="250"/>
        <v>2211,2311,2321,</v>
      </c>
      <c r="AH113" s="47" t="str">
        <f t="shared" si="251"/>
        <v>[2211,2311,2321]</v>
      </c>
      <c r="AI113" s="17" t="str">
        <f t="shared" si="247"/>
        <v>4,</v>
      </c>
      <c r="AJ113" s="17" t="str">
        <f t="shared" si="248"/>
        <v>4,</v>
      </c>
      <c r="AK113" s="17" t="str">
        <f t="shared" si="249"/>
        <v>3,</v>
      </c>
      <c r="AL113" s="47" t="str">
        <f t="shared" si="252"/>
        <v>4,4,3,</v>
      </c>
      <c r="AM113" s="47" t="str">
        <f t="shared" si="253"/>
        <v>[4,4,3]</v>
      </c>
      <c r="AN113" s="47" t="str">
        <f>VLOOKUP(T113,物品id!$A:$B,2,FALSE)&amp;","</f>
        <v>102,</v>
      </c>
      <c r="AO113" s="17" t="str">
        <f t="shared" si="193"/>
        <v>[102]</v>
      </c>
      <c r="AP113" s="47" t="str">
        <f t="shared" si="184"/>
        <v>240,</v>
      </c>
      <c r="AQ113" s="17" t="str">
        <f t="shared" si="194"/>
        <v>[240]</v>
      </c>
      <c r="AR113" s="47" t="str">
        <f>IF(V113="","",VLOOKUP(V113,物品id!$A:$B,2,FALSE)&amp;",")</f>
        <v>20033,</v>
      </c>
      <c r="AS113" s="47" t="str">
        <f>IF(W113="","",VLOOKUP(W113,物品id!$A:$B,2,FALSE)&amp;",")</f>
        <v>102,</v>
      </c>
      <c r="AT113" s="47" t="str">
        <f t="shared" si="254"/>
        <v>20033,102,</v>
      </c>
      <c r="AU113" s="47" t="str">
        <f t="shared" si="255"/>
        <v>[20033,102]</v>
      </c>
      <c r="AV113" s="47" t="str">
        <f t="shared" si="185"/>
        <v>2,</v>
      </c>
      <c r="AW113" s="47" t="str">
        <f t="shared" si="186"/>
        <v>1440,</v>
      </c>
      <c r="AX113" s="47" t="str">
        <f t="shared" si="256"/>
        <v>2,1440,</v>
      </c>
      <c r="AY113" s="47" t="str">
        <f t="shared" si="257"/>
        <v>[2,1440]</v>
      </c>
    </row>
    <row r="114" spans="1:51" s="47" customFormat="1" x14ac:dyDescent="0.2">
      <c r="A114" s="47">
        <v>5</v>
      </c>
      <c r="B114" s="47" t="s">
        <v>1033</v>
      </c>
      <c r="C114" s="47">
        <v>42</v>
      </c>
      <c r="D114" s="34" t="s">
        <v>1147</v>
      </c>
      <c r="E114" s="47" t="s">
        <v>1017</v>
      </c>
      <c r="F114" s="47">
        <v>3</v>
      </c>
      <c r="G114" s="47" t="s">
        <v>825</v>
      </c>
      <c r="H114" s="47" t="s">
        <v>827</v>
      </c>
      <c r="I114" s="47" t="s">
        <v>828</v>
      </c>
      <c r="J114" s="17">
        <v>1</v>
      </c>
      <c r="K114" s="17">
        <v>0.8</v>
      </c>
      <c r="L114" s="17">
        <v>0</v>
      </c>
      <c r="M114" s="35">
        <f>(IF(G114="",挂机玩法规划!$L$2,VLOOKUP(G114,物品id!A:D,4,FALSE)*IF(J114=0,1,4))*IF(J114=0,1,J114)+IF(H114="",挂机玩法规划!$L$2,VLOOKUP(H114,物品id!A:D,4,FALSE)*IF(K114=0,1,4))*IF(K114=0,1,K114)+IF(I114="",挂机玩法规划!$L$2,VLOOKUP(I114,物品id!A:D,4,FALSE)*IF(L114=0,1,4))*IF(L114=0,1,L114))/O114</f>
        <v>0.64375000000000004</v>
      </c>
      <c r="N114" s="44">
        <f>IF(G114="",挂机玩法规划!$L$2,VLOOKUP(G114,物品id!A:D,4,FALSE)*4)+IF(H114="",挂机玩法规划!$L$2,VLOOKUP(H114,物品id!A:D,4,FALSE)*4)+IF(I114="",挂机玩法规划!$L$2,VLOOKUP(I114,物品id!A:D,4,FALSE)*4)</f>
        <v>320</v>
      </c>
      <c r="O114" s="48">
        <v>320</v>
      </c>
      <c r="P114" s="47">
        <v>4</v>
      </c>
      <c r="Q114" s="47">
        <v>4</v>
      </c>
      <c r="R114" s="47">
        <v>3</v>
      </c>
      <c r="S114" s="47">
        <v>240</v>
      </c>
      <c r="T114" s="47" t="s">
        <v>835</v>
      </c>
      <c r="U114" s="47">
        <v>240</v>
      </c>
      <c r="V114" s="47" t="s">
        <v>837</v>
      </c>
      <c r="W114" s="47" t="s">
        <v>200</v>
      </c>
      <c r="X114" s="47">
        <v>2</v>
      </c>
      <c r="Y114" s="47">
        <f>U114*挂机玩法规划!$O$4*VLOOKUP(E114,挂机玩法规划!$G$2:$I$17,3,FALSE)</f>
        <v>1440</v>
      </c>
      <c r="Z114" s="17">
        <f t="shared" si="187"/>
        <v>1.2875000000000001</v>
      </c>
      <c r="AA114" s="17">
        <f t="shared" si="188"/>
        <v>927.00000000000011</v>
      </c>
      <c r="AB114" s="17">
        <f>(VLOOKUP(V114,物品id!A:E,5,FALSE)*挂机玩法填表!Z114+VLOOKUP(挂机玩法填表!W114,物品id!A:E,5,FALSE)*挂机玩法填表!AA114)/(U114/60)</f>
        <v>43.723500000000001</v>
      </c>
      <c r="AD114" s="47" t="str">
        <f>IF(G114="","",VLOOKUP(G114,物品id!$A:$B,2,FALSE)&amp;",")</f>
        <v>3211,</v>
      </c>
      <c r="AE114" s="47" t="str">
        <f>IF(H114="","",VLOOKUP(H114,物品id!$A:$B,2,FALSE)&amp;",")</f>
        <v>3311,</v>
      </c>
      <c r="AF114" s="47" t="str">
        <f>IF(I114="","",VLOOKUP(I114,物品id!$A:$B,2,FALSE)&amp;",")</f>
        <v>3321,</v>
      </c>
      <c r="AG114" s="47" t="str">
        <f t="shared" si="250"/>
        <v>3211,3311,3321,</v>
      </c>
      <c r="AH114" s="47" t="str">
        <f t="shared" si="251"/>
        <v>[3211,3311,3321]</v>
      </c>
      <c r="AI114" s="17" t="str">
        <f t="shared" si="247"/>
        <v>4,</v>
      </c>
      <c r="AJ114" s="17" t="str">
        <f t="shared" si="248"/>
        <v>4,</v>
      </c>
      <c r="AK114" s="17" t="str">
        <f t="shared" si="249"/>
        <v>3,</v>
      </c>
      <c r="AL114" s="47" t="str">
        <f t="shared" si="252"/>
        <v>4,4,3,</v>
      </c>
      <c r="AM114" s="47" t="str">
        <f t="shared" si="253"/>
        <v>[4,4,3]</v>
      </c>
      <c r="AN114" s="47" t="str">
        <f>VLOOKUP(T114,物品id!$A:$B,2,FALSE)&amp;","</f>
        <v>102,</v>
      </c>
      <c r="AO114" s="17" t="str">
        <f t="shared" si="193"/>
        <v>[102]</v>
      </c>
      <c r="AP114" s="47" t="str">
        <f t="shared" si="184"/>
        <v>240,</v>
      </c>
      <c r="AQ114" s="17" t="str">
        <f t="shared" si="194"/>
        <v>[240]</v>
      </c>
      <c r="AR114" s="47" t="str">
        <f>IF(V114="","",VLOOKUP(V114,物品id!$A:$B,2,FALSE)&amp;",")</f>
        <v>20033,</v>
      </c>
      <c r="AS114" s="47" t="str">
        <f>IF(W114="","",VLOOKUP(W114,物品id!$A:$B,2,FALSE)&amp;",")</f>
        <v>102,</v>
      </c>
      <c r="AT114" s="47" t="str">
        <f t="shared" si="254"/>
        <v>20033,102,</v>
      </c>
      <c r="AU114" s="47" t="str">
        <f t="shared" si="255"/>
        <v>[20033,102]</v>
      </c>
      <c r="AV114" s="47" t="str">
        <f t="shared" si="185"/>
        <v>2,</v>
      </c>
      <c r="AW114" s="47" t="str">
        <f t="shared" si="186"/>
        <v>1440,</v>
      </c>
      <c r="AX114" s="47" t="str">
        <f t="shared" si="256"/>
        <v>2,1440,</v>
      </c>
      <c r="AY114" s="47" t="str">
        <f t="shared" si="257"/>
        <v>[2,1440]</v>
      </c>
    </row>
    <row r="115" spans="1:51" s="47" customFormat="1" x14ac:dyDescent="0.2">
      <c r="A115" s="47">
        <v>5</v>
      </c>
      <c r="B115" s="47" t="s">
        <v>1032</v>
      </c>
      <c r="C115" s="47">
        <v>43</v>
      </c>
      <c r="D115" s="34" t="s">
        <v>1148</v>
      </c>
      <c r="E115" s="47" t="s">
        <v>1017</v>
      </c>
      <c r="F115" s="47">
        <v>3</v>
      </c>
      <c r="G115" s="47" t="s">
        <v>804</v>
      </c>
      <c r="H115" s="47" t="s">
        <v>806</v>
      </c>
      <c r="I115" s="47" t="s">
        <v>807</v>
      </c>
      <c r="J115" s="17">
        <v>1</v>
      </c>
      <c r="K115" s="17">
        <v>0.8</v>
      </c>
      <c r="L115" s="17">
        <v>0</v>
      </c>
      <c r="M115" s="35">
        <f>(IF(G115="",挂机玩法规划!$L$2,VLOOKUP(G115,物品id!A:D,4,FALSE)*IF(J115=0,1,4))*IF(J115=0,1,J115)+IF(H115="",挂机玩法规划!$L$2,VLOOKUP(H115,物品id!A:D,4,FALSE)*IF(K115=0,1,4))*IF(K115=0,1,K115)+IF(I115="",挂机玩法规划!$L$2,VLOOKUP(I115,物品id!A:D,4,FALSE)*IF(L115=0,1,4))*IF(L115=0,1,L115))/O115</f>
        <v>0.64375000000000004</v>
      </c>
      <c r="N115" s="44">
        <f>IF(G115="",挂机玩法规划!$L$2,VLOOKUP(G115,物品id!A:D,4,FALSE)*4)+IF(H115="",挂机玩法规划!$L$2,VLOOKUP(H115,物品id!A:D,4,FALSE)*4)+IF(I115="",挂机玩法规划!$L$2,VLOOKUP(I115,物品id!A:D,4,FALSE)*4)</f>
        <v>320</v>
      </c>
      <c r="O115" s="48">
        <v>320</v>
      </c>
      <c r="P115" s="47">
        <v>4</v>
      </c>
      <c r="Q115" s="47">
        <v>4</v>
      </c>
      <c r="R115" s="47">
        <v>3</v>
      </c>
      <c r="S115" s="47">
        <v>480</v>
      </c>
      <c r="T115" s="47" t="s">
        <v>835</v>
      </c>
      <c r="U115" s="47">
        <v>480</v>
      </c>
      <c r="V115" s="47" t="s">
        <v>1047</v>
      </c>
      <c r="W115" s="47" t="s">
        <v>200</v>
      </c>
      <c r="X115" s="47">
        <v>3</v>
      </c>
      <c r="Y115" s="47">
        <f>U115*挂机玩法规划!$O$4*VLOOKUP(E115,挂机玩法规划!$G$2:$I$17,3,FALSE)</f>
        <v>2880</v>
      </c>
      <c r="Z115" s="17">
        <f t="shared" si="187"/>
        <v>1.9312500000000001</v>
      </c>
      <c r="AA115" s="17">
        <f t="shared" si="188"/>
        <v>1854.0000000000002</v>
      </c>
      <c r="AB115" s="17">
        <f>(VLOOKUP(V115,物品id!A:E,5,FALSE)*挂机玩法填表!Z115+VLOOKUP(挂机玩法填表!W115,物品id!A:E,5,FALSE)*挂机玩法填表!AA115)/(U115/60)</f>
        <v>34.067250000000001</v>
      </c>
      <c r="AD115" s="47" t="str">
        <f>IF(G115="","",VLOOKUP(G115,物品id!$A:$B,2,FALSE)&amp;",")</f>
        <v>1211,</v>
      </c>
      <c r="AE115" s="47" t="str">
        <f>IF(H115="","",VLOOKUP(H115,物品id!$A:$B,2,FALSE)&amp;",")</f>
        <v>1311,</v>
      </c>
      <c r="AF115" s="47" t="str">
        <f>IF(I115="","",VLOOKUP(I115,物品id!$A:$B,2,FALSE)&amp;",")</f>
        <v>1321,</v>
      </c>
      <c r="AG115" s="47" t="str">
        <f t="shared" si="250"/>
        <v>1211,1311,1321,</v>
      </c>
      <c r="AH115" s="47" t="str">
        <f t="shared" si="251"/>
        <v>[1211,1311,1321]</v>
      </c>
      <c r="AI115" s="17" t="str">
        <f t="shared" si="247"/>
        <v>4,</v>
      </c>
      <c r="AJ115" s="17" t="str">
        <f t="shared" si="248"/>
        <v>4,</v>
      </c>
      <c r="AK115" s="17" t="str">
        <f t="shared" si="249"/>
        <v>3,</v>
      </c>
      <c r="AL115" s="47" t="str">
        <f t="shared" si="252"/>
        <v>4,4,3,</v>
      </c>
      <c r="AM115" s="47" t="str">
        <f t="shared" si="253"/>
        <v>[4,4,3]</v>
      </c>
      <c r="AN115" s="47" t="str">
        <f>VLOOKUP(T115,物品id!$A:$B,2,FALSE)&amp;","</f>
        <v>102,</v>
      </c>
      <c r="AO115" s="17" t="str">
        <f t="shared" si="193"/>
        <v>[102]</v>
      </c>
      <c r="AP115" s="47" t="str">
        <f t="shared" si="184"/>
        <v>480,</v>
      </c>
      <c r="AQ115" s="17" t="str">
        <f t="shared" si="194"/>
        <v>[480]</v>
      </c>
      <c r="AR115" s="47" t="str">
        <f>IF(V115="","",VLOOKUP(V115,物品id!$A:$B,2,FALSE)&amp;",")</f>
        <v>20033,</v>
      </c>
      <c r="AS115" s="47" t="str">
        <f>IF(W115="","",VLOOKUP(W115,物品id!$A:$B,2,FALSE)&amp;",")</f>
        <v>102,</v>
      </c>
      <c r="AT115" s="47" t="str">
        <f t="shared" si="254"/>
        <v>20033,102,</v>
      </c>
      <c r="AU115" s="47" t="str">
        <f t="shared" si="255"/>
        <v>[20033,102]</v>
      </c>
      <c r="AV115" s="47" t="str">
        <f t="shared" si="185"/>
        <v>3,</v>
      </c>
      <c r="AW115" s="47" t="str">
        <f t="shared" si="186"/>
        <v>2880,</v>
      </c>
      <c r="AX115" s="47" t="str">
        <f t="shared" si="256"/>
        <v>3,2880,</v>
      </c>
      <c r="AY115" s="47" t="str">
        <f t="shared" si="257"/>
        <v>[3,2880]</v>
      </c>
    </row>
    <row r="116" spans="1:51" s="47" customFormat="1" x14ac:dyDescent="0.2">
      <c r="A116" s="47">
        <v>5</v>
      </c>
      <c r="B116" s="47" t="s">
        <v>1033</v>
      </c>
      <c r="C116" s="47">
        <v>43</v>
      </c>
      <c r="D116" s="34" t="s">
        <v>1148</v>
      </c>
      <c r="E116" s="47" t="s">
        <v>1017</v>
      </c>
      <c r="F116" s="47">
        <v>3</v>
      </c>
      <c r="G116" s="47" t="s">
        <v>815</v>
      </c>
      <c r="H116" s="47" t="s">
        <v>817</v>
      </c>
      <c r="I116" s="47" t="s">
        <v>818</v>
      </c>
      <c r="J116" s="17">
        <v>1</v>
      </c>
      <c r="K116" s="17">
        <v>0.8</v>
      </c>
      <c r="L116" s="17">
        <v>0</v>
      </c>
      <c r="M116" s="35">
        <f>(IF(G116="",挂机玩法规划!$L$2,VLOOKUP(G116,物品id!A:D,4,FALSE)*IF(J116=0,1,4))*IF(J116=0,1,J116)+IF(H116="",挂机玩法规划!$L$2,VLOOKUP(H116,物品id!A:D,4,FALSE)*IF(K116=0,1,4))*IF(K116=0,1,K116)+IF(I116="",挂机玩法规划!$L$2,VLOOKUP(I116,物品id!A:D,4,FALSE)*IF(L116=0,1,4))*IF(L116=0,1,L116))/O116</f>
        <v>0.64375000000000004</v>
      </c>
      <c r="N116" s="44">
        <f>IF(G116="",挂机玩法规划!$L$2,VLOOKUP(G116,物品id!A:D,4,FALSE)*4)+IF(H116="",挂机玩法规划!$L$2,VLOOKUP(H116,物品id!A:D,4,FALSE)*4)+IF(I116="",挂机玩法规划!$L$2,VLOOKUP(I116,物品id!A:D,4,FALSE)*4)</f>
        <v>320</v>
      </c>
      <c r="O116" s="48">
        <v>320</v>
      </c>
      <c r="P116" s="47">
        <v>4</v>
      </c>
      <c r="Q116" s="47">
        <v>4</v>
      </c>
      <c r="R116" s="47">
        <v>3</v>
      </c>
      <c r="S116" s="47">
        <v>480</v>
      </c>
      <c r="T116" s="47" t="s">
        <v>835</v>
      </c>
      <c r="U116" s="47">
        <v>480</v>
      </c>
      <c r="V116" s="47" t="s">
        <v>1047</v>
      </c>
      <c r="W116" s="47" t="s">
        <v>200</v>
      </c>
      <c r="X116" s="47">
        <v>3</v>
      </c>
      <c r="Y116" s="47">
        <f>U116*挂机玩法规划!$O$4*VLOOKUP(E116,挂机玩法规划!$G$2:$I$17,3,FALSE)</f>
        <v>2880</v>
      </c>
      <c r="Z116" s="17">
        <f t="shared" si="187"/>
        <v>1.9312500000000001</v>
      </c>
      <c r="AA116" s="17">
        <f t="shared" si="188"/>
        <v>1854.0000000000002</v>
      </c>
      <c r="AB116" s="17">
        <f>(VLOOKUP(V116,物品id!A:E,5,FALSE)*挂机玩法填表!Z116+VLOOKUP(挂机玩法填表!W116,物品id!A:E,5,FALSE)*挂机玩法填表!AA116)/(U116/60)</f>
        <v>34.067250000000001</v>
      </c>
      <c r="AD116" s="47" t="str">
        <f>IF(G116="","",VLOOKUP(G116,物品id!$A:$B,2,FALSE)&amp;",")</f>
        <v>2211,</v>
      </c>
      <c r="AE116" s="47" t="str">
        <f>IF(H116="","",VLOOKUP(H116,物品id!$A:$B,2,FALSE)&amp;",")</f>
        <v>2311,</v>
      </c>
      <c r="AF116" s="47" t="str">
        <f>IF(I116="","",VLOOKUP(I116,物品id!$A:$B,2,FALSE)&amp;",")</f>
        <v>2321,</v>
      </c>
      <c r="AG116" s="47" t="str">
        <f t="shared" si="250"/>
        <v>2211,2311,2321,</v>
      </c>
      <c r="AH116" s="47" t="str">
        <f t="shared" si="251"/>
        <v>[2211,2311,2321]</v>
      </c>
      <c r="AI116" s="17" t="str">
        <f t="shared" si="247"/>
        <v>4,</v>
      </c>
      <c r="AJ116" s="17" t="str">
        <f t="shared" si="248"/>
        <v>4,</v>
      </c>
      <c r="AK116" s="17" t="str">
        <f t="shared" si="249"/>
        <v>3,</v>
      </c>
      <c r="AL116" s="47" t="str">
        <f t="shared" si="252"/>
        <v>4,4,3,</v>
      </c>
      <c r="AM116" s="47" t="str">
        <f t="shared" si="253"/>
        <v>[4,4,3]</v>
      </c>
      <c r="AN116" s="47" t="str">
        <f>VLOOKUP(T116,物品id!$A:$B,2,FALSE)&amp;","</f>
        <v>102,</v>
      </c>
      <c r="AO116" s="17" t="str">
        <f t="shared" si="193"/>
        <v>[102]</v>
      </c>
      <c r="AP116" s="47" t="str">
        <f t="shared" si="184"/>
        <v>480,</v>
      </c>
      <c r="AQ116" s="17" t="str">
        <f t="shared" si="194"/>
        <v>[480]</v>
      </c>
      <c r="AR116" s="47" t="str">
        <f>IF(V116="","",VLOOKUP(V116,物品id!$A:$B,2,FALSE)&amp;",")</f>
        <v>20033,</v>
      </c>
      <c r="AS116" s="47" t="str">
        <f>IF(W116="","",VLOOKUP(W116,物品id!$A:$B,2,FALSE)&amp;",")</f>
        <v>102,</v>
      </c>
      <c r="AT116" s="47" t="str">
        <f t="shared" si="254"/>
        <v>20033,102,</v>
      </c>
      <c r="AU116" s="47" t="str">
        <f t="shared" si="255"/>
        <v>[20033,102]</v>
      </c>
      <c r="AV116" s="47" t="str">
        <f t="shared" si="185"/>
        <v>3,</v>
      </c>
      <c r="AW116" s="47" t="str">
        <f t="shared" si="186"/>
        <v>2880,</v>
      </c>
      <c r="AX116" s="47" t="str">
        <f t="shared" si="256"/>
        <v>3,2880,</v>
      </c>
      <c r="AY116" s="47" t="str">
        <f t="shared" si="257"/>
        <v>[3,2880]</v>
      </c>
    </row>
    <row r="117" spans="1:51" s="47" customFormat="1" x14ac:dyDescent="0.2">
      <c r="A117" s="47">
        <v>5</v>
      </c>
      <c r="B117" s="47" t="s">
        <v>1033</v>
      </c>
      <c r="C117" s="47">
        <v>43</v>
      </c>
      <c r="D117" s="34" t="s">
        <v>1148</v>
      </c>
      <c r="E117" s="47" t="s">
        <v>1017</v>
      </c>
      <c r="F117" s="47">
        <v>3</v>
      </c>
      <c r="G117" s="47" t="s">
        <v>825</v>
      </c>
      <c r="H117" s="47" t="s">
        <v>827</v>
      </c>
      <c r="I117" s="47" t="s">
        <v>828</v>
      </c>
      <c r="J117" s="17">
        <v>1</v>
      </c>
      <c r="K117" s="17">
        <v>0.8</v>
      </c>
      <c r="L117" s="17">
        <v>0</v>
      </c>
      <c r="M117" s="35">
        <f>(IF(G117="",挂机玩法规划!$L$2,VLOOKUP(G117,物品id!A:D,4,FALSE)*IF(J117=0,1,4))*IF(J117=0,1,J117)+IF(H117="",挂机玩法规划!$L$2,VLOOKUP(H117,物品id!A:D,4,FALSE)*IF(K117=0,1,4))*IF(K117=0,1,K117)+IF(I117="",挂机玩法规划!$L$2,VLOOKUP(I117,物品id!A:D,4,FALSE)*IF(L117=0,1,4))*IF(L117=0,1,L117))/O117</f>
        <v>0.64375000000000004</v>
      </c>
      <c r="N117" s="44">
        <f>IF(G117="",挂机玩法规划!$L$2,VLOOKUP(G117,物品id!A:D,4,FALSE)*4)+IF(H117="",挂机玩法规划!$L$2,VLOOKUP(H117,物品id!A:D,4,FALSE)*4)+IF(I117="",挂机玩法规划!$L$2,VLOOKUP(I117,物品id!A:D,4,FALSE)*4)</f>
        <v>320</v>
      </c>
      <c r="O117" s="48">
        <v>320</v>
      </c>
      <c r="P117" s="47">
        <v>4</v>
      </c>
      <c r="Q117" s="47">
        <v>4</v>
      </c>
      <c r="R117" s="47">
        <v>3</v>
      </c>
      <c r="S117" s="47">
        <v>480</v>
      </c>
      <c r="T117" s="47" t="s">
        <v>835</v>
      </c>
      <c r="U117" s="47">
        <v>480</v>
      </c>
      <c r="V117" s="47" t="s">
        <v>1047</v>
      </c>
      <c r="W117" s="47" t="s">
        <v>200</v>
      </c>
      <c r="X117" s="47">
        <v>3</v>
      </c>
      <c r="Y117" s="47">
        <f>U117*挂机玩法规划!$O$4*VLOOKUP(E117,挂机玩法规划!$G$2:$I$17,3,FALSE)</f>
        <v>2880</v>
      </c>
      <c r="Z117" s="17">
        <f t="shared" si="187"/>
        <v>1.9312500000000001</v>
      </c>
      <c r="AA117" s="17">
        <f t="shared" si="188"/>
        <v>1854.0000000000002</v>
      </c>
      <c r="AB117" s="17">
        <f>(VLOOKUP(V117,物品id!A:E,5,FALSE)*挂机玩法填表!Z117+VLOOKUP(挂机玩法填表!W117,物品id!A:E,5,FALSE)*挂机玩法填表!AA117)/(U117/60)</f>
        <v>34.067250000000001</v>
      </c>
      <c r="AD117" s="47" t="str">
        <f>IF(G117="","",VLOOKUP(G117,物品id!$A:$B,2,FALSE)&amp;",")</f>
        <v>3211,</v>
      </c>
      <c r="AE117" s="47" t="str">
        <f>IF(H117="","",VLOOKUP(H117,物品id!$A:$B,2,FALSE)&amp;",")</f>
        <v>3311,</v>
      </c>
      <c r="AF117" s="47" t="str">
        <f>IF(I117="","",VLOOKUP(I117,物品id!$A:$B,2,FALSE)&amp;",")</f>
        <v>3321,</v>
      </c>
      <c r="AG117" s="47" t="str">
        <f t="shared" si="250"/>
        <v>3211,3311,3321,</v>
      </c>
      <c r="AH117" s="47" t="str">
        <f t="shared" si="251"/>
        <v>[3211,3311,3321]</v>
      </c>
      <c r="AI117" s="17" t="str">
        <f t="shared" si="247"/>
        <v>4,</v>
      </c>
      <c r="AJ117" s="17" t="str">
        <f t="shared" si="248"/>
        <v>4,</v>
      </c>
      <c r="AK117" s="17" t="str">
        <f t="shared" si="249"/>
        <v>3,</v>
      </c>
      <c r="AL117" s="47" t="str">
        <f t="shared" si="252"/>
        <v>4,4,3,</v>
      </c>
      <c r="AM117" s="47" t="str">
        <f t="shared" si="253"/>
        <v>[4,4,3]</v>
      </c>
      <c r="AN117" s="47" t="str">
        <f>VLOOKUP(T117,物品id!$A:$B,2,FALSE)&amp;","</f>
        <v>102,</v>
      </c>
      <c r="AO117" s="17" t="str">
        <f t="shared" si="193"/>
        <v>[102]</v>
      </c>
      <c r="AP117" s="47" t="str">
        <f t="shared" si="184"/>
        <v>480,</v>
      </c>
      <c r="AQ117" s="17" t="str">
        <f t="shared" si="194"/>
        <v>[480]</v>
      </c>
      <c r="AR117" s="47" t="str">
        <f>IF(V117="","",VLOOKUP(V117,物品id!$A:$B,2,FALSE)&amp;",")</f>
        <v>20033,</v>
      </c>
      <c r="AS117" s="47" t="str">
        <f>IF(W117="","",VLOOKUP(W117,物品id!$A:$B,2,FALSE)&amp;",")</f>
        <v>102,</v>
      </c>
      <c r="AT117" s="47" t="str">
        <f t="shared" si="254"/>
        <v>20033,102,</v>
      </c>
      <c r="AU117" s="47" t="str">
        <f t="shared" si="255"/>
        <v>[20033,102]</v>
      </c>
      <c r="AV117" s="47" t="str">
        <f t="shared" si="185"/>
        <v>3,</v>
      </c>
      <c r="AW117" s="47" t="str">
        <f t="shared" si="186"/>
        <v>2880,</v>
      </c>
      <c r="AX117" s="47" t="str">
        <f t="shared" si="256"/>
        <v>3,2880,</v>
      </c>
      <c r="AY117" s="47" t="str">
        <f t="shared" si="257"/>
        <v>[3,2880]</v>
      </c>
    </row>
    <row r="118" spans="1:51" s="47" customFormat="1" x14ac:dyDescent="0.2">
      <c r="A118" s="47">
        <v>5</v>
      </c>
      <c r="B118" s="47" t="s">
        <v>1033</v>
      </c>
      <c r="C118" s="47">
        <v>44</v>
      </c>
      <c r="D118" s="34" t="s">
        <v>1149</v>
      </c>
      <c r="E118" s="47" t="s">
        <v>1017</v>
      </c>
      <c r="F118" s="47">
        <v>3</v>
      </c>
      <c r="G118" s="47" t="s">
        <v>807</v>
      </c>
      <c r="H118" s="47" t="s">
        <v>818</v>
      </c>
      <c r="I118" s="47" t="s">
        <v>828</v>
      </c>
      <c r="J118" s="17">
        <v>1</v>
      </c>
      <c r="K118" s="17">
        <v>0.8</v>
      </c>
      <c r="L118" s="17">
        <v>0</v>
      </c>
      <c r="M118" s="35">
        <f>(IF(G118="",挂机玩法规划!$L$2,VLOOKUP(G118,物品id!A:D,4,FALSE)*IF(J118=0,1,4))*IF(J118=0,1,J118)+IF(H118="",挂机玩法规划!$L$2,VLOOKUP(H118,物品id!A:D,4,FALSE)*IF(K118=0,1,4))*IF(K118=0,1,K118)+IF(I118="",挂机玩法规划!$L$2,VLOOKUP(I118,物品id!A:D,4,FALSE)*IF(L118=0,1,4))*IF(L118=0,1,L118))/O118</f>
        <v>0.68333333333333335</v>
      </c>
      <c r="N118" s="44">
        <f>IF(G118="",挂机玩法规划!$L$2,VLOOKUP(G118,物品id!A:D,4,FALSE)*4)+IF(H118="",挂机玩法规划!$L$2,VLOOKUP(H118,物品id!A:D,4,FALSE)*4)+IF(I118="",挂机玩法规划!$L$2,VLOOKUP(I118,物品id!A:D,4,FALSE)*4)</f>
        <v>360</v>
      </c>
      <c r="O118" s="48">
        <v>360</v>
      </c>
      <c r="P118" s="47">
        <v>4</v>
      </c>
      <c r="Q118" s="47">
        <v>4</v>
      </c>
      <c r="R118" s="47">
        <v>3</v>
      </c>
      <c r="S118" s="47">
        <v>720</v>
      </c>
      <c r="T118" s="47" t="s">
        <v>835</v>
      </c>
      <c r="U118" s="47">
        <v>720</v>
      </c>
      <c r="V118" s="47" t="s">
        <v>837</v>
      </c>
      <c r="W118" s="47" t="s">
        <v>200</v>
      </c>
      <c r="X118" s="47">
        <v>4</v>
      </c>
      <c r="Y118" s="47">
        <f>U118*挂机玩法规划!$O$4*VLOOKUP(E118,挂机玩法规划!$G$2:$I$17,3,FALSE)</f>
        <v>4320</v>
      </c>
      <c r="Z118" s="17">
        <f t="shared" si="187"/>
        <v>2.7333333333333334</v>
      </c>
      <c r="AA118" s="17">
        <f t="shared" si="188"/>
        <v>2952</v>
      </c>
      <c r="AB118" s="17">
        <f>(VLOOKUP(V118,物品id!A:E,5,FALSE)*挂机玩法填表!Z118+VLOOKUP(挂机玩法填表!W118,物品id!A:E,5,FALSE)*挂机玩法填表!AA118)/(U118/60)</f>
        <v>32.745333333333335</v>
      </c>
      <c r="AD118" s="47" t="str">
        <f>IF(G118="","",VLOOKUP(G118,物品id!$A:$B,2,FALSE)&amp;",")</f>
        <v>1321,</v>
      </c>
      <c r="AE118" s="47" t="str">
        <f>IF(H118="","",VLOOKUP(H118,物品id!$A:$B,2,FALSE)&amp;",")</f>
        <v>2321,</v>
      </c>
      <c r="AF118" s="47" t="str">
        <f>IF(I118="","",VLOOKUP(I118,物品id!$A:$B,2,FALSE)&amp;",")</f>
        <v>3321,</v>
      </c>
      <c r="AG118" s="47" t="str">
        <f t="shared" si="250"/>
        <v>1321,2321,3321,</v>
      </c>
      <c r="AH118" s="47" t="str">
        <f t="shared" si="251"/>
        <v>[1321,2321,3321]</v>
      </c>
      <c r="AI118" s="17" t="str">
        <f t="shared" si="247"/>
        <v>4,</v>
      </c>
      <c r="AJ118" s="17" t="str">
        <f t="shared" si="248"/>
        <v>4,</v>
      </c>
      <c r="AK118" s="17" t="str">
        <f t="shared" si="249"/>
        <v>3,</v>
      </c>
      <c r="AL118" s="47" t="str">
        <f t="shared" si="252"/>
        <v>4,4,3,</v>
      </c>
      <c r="AM118" s="47" t="str">
        <f t="shared" si="253"/>
        <v>[4,4,3]</v>
      </c>
      <c r="AN118" s="47" t="str">
        <f>VLOOKUP(T118,物品id!$A:$B,2,FALSE)&amp;","</f>
        <v>102,</v>
      </c>
      <c r="AO118" s="17" t="str">
        <f t="shared" si="193"/>
        <v>[102]</v>
      </c>
      <c r="AP118" s="47" t="str">
        <f t="shared" si="184"/>
        <v>720,</v>
      </c>
      <c r="AQ118" s="17" t="str">
        <f t="shared" si="194"/>
        <v>[720]</v>
      </c>
      <c r="AR118" s="47" t="str">
        <f>IF(V118="","",VLOOKUP(V118,物品id!$A:$B,2,FALSE)&amp;",")</f>
        <v>20033,</v>
      </c>
      <c r="AS118" s="47" t="str">
        <f>IF(W118="","",VLOOKUP(W118,物品id!$A:$B,2,FALSE)&amp;",")</f>
        <v>102,</v>
      </c>
      <c r="AT118" s="47" t="str">
        <f t="shared" si="254"/>
        <v>20033,102,</v>
      </c>
      <c r="AU118" s="47" t="str">
        <f t="shared" si="255"/>
        <v>[20033,102]</v>
      </c>
      <c r="AV118" s="47" t="str">
        <f t="shared" si="185"/>
        <v>4,</v>
      </c>
      <c r="AW118" s="47" t="str">
        <f t="shared" si="186"/>
        <v>4320,</v>
      </c>
      <c r="AX118" s="47" t="str">
        <f t="shared" si="256"/>
        <v>4,4320,</v>
      </c>
      <c r="AY118" s="47" t="str">
        <f t="shared" si="257"/>
        <v>[4,4320]</v>
      </c>
    </row>
    <row r="119" spans="1:51" s="47" customFormat="1" x14ac:dyDescent="0.2">
      <c r="A119" s="47">
        <v>4</v>
      </c>
      <c r="B119" s="47" t="s">
        <v>1032</v>
      </c>
      <c r="C119" s="47">
        <v>45</v>
      </c>
      <c r="D119" s="34" t="s">
        <v>1150</v>
      </c>
      <c r="E119" s="47" t="s">
        <v>1031</v>
      </c>
      <c r="F119" s="47">
        <v>3</v>
      </c>
      <c r="G119" s="47" t="s">
        <v>804</v>
      </c>
      <c r="H119" s="47" t="s">
        <v>806</v>
      </c>
      <c r="I119" s="47" t="s">
        <v>807</v>
      </c>
      <c r="J119" s="17">
        <v>1</v>
      </c>
      <c r="K119" s="17">
        <v>0.8</v>
      </c>
      <c r="L119" s="17">
        <v>0</v>
      </c>
      <c r="M119" s="35">
        <f>(IF(G119="",挂机玩法规划!$L$2,VLOOKUP(G119,物品id!A:D,4,FALSE)*IF(J119=0,1,4))*IF(J119=0,1,J119)+IF(H119="",挂机玩法规划!$L$2,VLOOKUP(H119,物品id!A:D,4,FALSE)*IF(K119=0,1,4))*IF(K119=0,1,K119)+IF(I119="",挂机玩法规划!$L$2,VLOOKUP(I119,物品id!A:D,4,FALSE)*IF(L119=0,1,4))*IF(L119=0,1,L119))/O119</f>
        <v>0.64375000000000004</v>
      </c>
      <c r="N119" s="44">
        <f>IF(G119="",挂机玩法规划!$L$2,VLOOKUP(G119,物品id!A:D,4,FALSE)*4)+IF(H119="",挂机玩法规划!$L$2,VLOOKUP(H119,物品id!A:D,4,FALSE)*4)+IF(I119="",挂机玩法规划!$L$2,VLOOKUP(I119,物品id!A:D,4,FALSE)*4)</f>
        <v>320</v>
      </c>
      <c r="O119" s="48">
        <v>320</v>
      </c>
      <c r="P119" s="47">
        <v>4</v>
      </c>
      <c r="Q119" s="47">
        <v>4</v>
      </c>
      <c r="R119" s="47">
        <v>3</v>
      </c>
      <c r="S119" s="47">
        <v>120</v>
      </c>
      <c r="T119" s="47" t="s">
        <v>835</v>
      </c>
      <c r="U119" s="47">
        <v>120</v>
      </c>
      <c r="V119" s="47" t="s">
        <v>841</v>
      </c>
      <c r="W119" s="47" t="s">
        <v>200</v>
      </c>
      <c r="X119" s="47">
        <v>1</v>
      </c>
      <c r="Y119" s="47">
        <f>U119*挂机玩法规划!$O$4*VLOOKUP(E119,挂机玩法规划!$G$2:$I$17,3,FALSE)</f>
        <v>720</v>
      </c>
      <c r="Z119" s="17">
        <f t="shared" si="187"/>
        <v>0.64375000000000004</v>
      </c>
      <c r="AA119" s="17">
        <f t="shared" si="188"/>
        <v>463.50000000000006</v>
      </c>
      <c r="AB119" s="17">
        <f>(VLOOKUP(V119,物品id!A:E,5,FALSE)*挂机玩法填表!Z119+VLOOKUP(挂机玩法填表!W119,物品id!A:E,5,FALSE)*挂机玩法填表!AA119)/(U119/60)</f>
        <v>37.286000000000001</v>
      </c>
      <c r="AD119" s="17" t="str">
        <f>IF(G119="","",VLOOKUP(G119,物品id!$A:$B,2,FALSE)&amp;",")</f>
        <v>1211,</v>
      </c>
      <c r="AE119" s="17" t="str">
        <f>IF(H119="","",VLOOKUP(H119,物品id!$A:$B,2,FALSE)&amp;",")</f>
        <v>1311,</v>
      </c>
      <c r="AF119" s="17" t="str">
        <f>IF(I119="","",VLOOKUP(I119,物品id!$A:$B,2,FALSE)&amp;",")</f>
        <v>1321,</v>
      </c>
      <c r="AG119" s="47" t="str">
        <f t="shared" si="42"/>
        <v>1211,1311,1321,</v>
      </c>
      <c r="AH119" s="47" t="str">
        <f t="shared" si="43"/>
        <v>[1211,1311,1321]</v>
      </c>
      <c r="AI119" s="17" t="str">
        <f t="shared" si="247"/>
        <v>4,</v>
      </c>
      <c r="AJ119" s="17" t="str">
        <f t="shared" si="248"/>
        <v>4,</v>
      </c>
      <c r="AK119" s="17" t="str">
        <f t="shared" si="249"/>
        <v>3,</v>
      </c>
      <c r="AL119" s="47" t="str">
        <f t="shared" si="44"/>
        <v>4,4,3,</v>
      </c>
      <c r="AM119" s="47" t="str">
        <f t="shared" si="45"/>
        <v>[4,4,3]</v>
      </c>
      <c r="AN119" s="47" t="str">
        <f>VLOOKUP(T119,物品id!$A:$B,2,FALSE)&amp;","</f>
        <v>102,</v>
      </c>
      <c r="AO119" s="17" t="str">
        <f t="shared" si="193"/>
        <v>[102]</v>
      </c>
      <c r="AP119" s="47" t="str">
        <f t="shared" si="184"/>
        <v>120,</v>
      </c>
      <c r="AQ119" s="17" t="str">
        <f t="shared" si="194"/>
        <v>[120]</v>
      </c>
      <c r="AR119" s="47" t="str">
        <f>IF(V119="","",VLOOKUP(V119,物品id!$A:$B,2,FALSE)&amp;",")</f>
        <v>20037,</v>
      </c>
      <c r="AS119" s="47" t="str">
        <f>IF(W119="","",VLOOKUP(W119,物品id!$A:$B,2,FALSE)&amp;",")</f>
        <v>102,</v>
      </c>
      <c r="AT119" s="47" t="str">
        <f t="shared" si="46"/>
        <v>20037,102,</v>
      </c>
      <c r="AU119" s="47" t="str">
        <f t="shared" si="47"/>
        <v>[20037,102]</v>
      </c>
      <c r="AV119" s="47" t="str">
        <f t="shared" si="185"/>
        <v>1,</v>
      </c>
      <c r="AW119" s="47" t="str">
        <f t="shared" si="186"/>
        <v>720,</v>
      </c>
      <c r="AX119" s="47" t="str">
        <f t="shared" si="48"/>
        <v>1,720,</v>
      </c>
      <c r="AY119" s="47" t="str">
        <f t="shared" si="49"/>
        <v>[1,720]</v>
      </c>
    </row>
    <row r="120" spans="1:51" s="47" customFormat="1" x14ac:dyDescent="0.2">
      <c r="A120" s="47">
        <v>4</v>
      </c>
      <c r="B120" s="47" t="s">
        <v>1032</v>
      </c>
      <c r="C120" s="47">
        <v>45</v>
      </c>
      <c r="D120" s="34" t="s">
        <v>1150</v>
      </c>
      <c r="E120" s="47" t="s">
        <v>1017</v>
      </c>
      <c r="F120" s="47">
        <v>3</v>
      </c>
      <c r="G120" s="47" t="s">
        <v>815</v>
      </c>
      <c r="H120" s="47" t="s">
        <v>817</v>
      </c>
      <c r="I120" s="47" t="s">
        <v>818</v>
      </c>
      <c r="J120" s="17">
        <v>1</v>
      </c>
      <c r="K120" s="17">
        <v>0.8</v>
      </c>
      <c r="L120" s="17">
        <v>0</v>
      </c>
      <c r="M120" s="35">
        <f>(IF(G120="",挂机玩法规划!$L$2,VLOOKUP(G120,物品id!A:D,4,FALSE)*IF(J120=0,1,4))*IF(J120=0,1,J120)+IF(H120="",挂机玩法规划!$L$2,VLOOKUP(H120,物品id!A:D,4,FALSE)*IF(K120=0,1,4))*IF(K120=0,1,K120)+IF(I120="",挂机玩法规划!$L$2,VLOOKUP(I120,物品id!A:D,4,FALSE)*IF(L120=0,1,4))*IF(L120=0,1,L120))/O120</f>
        <v>0.64375000000000004</v>
      </c>
      <c r="N120" s="44">
        <f>IF(G120="",挂机玩法规划!$L$2,VLOOKUP(G120,物品id!A:D,4,FALSE)*4)+IF(H120="",挂机玩法规划!$L$2,VLOOKUP(H120,物品id!A:D,4,FALSE)*4)+IF(I120="",挂机玩法规划!$L$2,VLOOKUP(I120,物品id!A:D,4,FALSE)*4)</f>
        <v>320</v>
      </c>
      <c r="O120" s="48">
        <v>320</v>
      </c>
      <c r="P120" s="47">
        <v>4</v>
      </c>
      <c r="Q120" s="47">
        <v>4</v>
      </c>
      <c r="R120" s="47">
        <v>3</v>
      </c>
      <c r="S120" s="47">
        <v>120</v>
      </c>
      <c r="T120" s="47" t="s">
        <v>835</v>
      </c>
      <c r="U120" s="47">
        <v>120</v>
      </c>
      <c r="V120" s="47" t="s">
        <v>841</v>
      </c>
      <c r="W120" s="47" t="s">
        <v>200</v>
      </c>
      <c r="X120" s="47">
        <v>1</v>
      </c>
      <c r="Y120" s="47">
        <f>U120*挂机玩法规划!$O$4*VLOOKUP(E120,挂机玩法规划!$G$2:$I$17,3,FALSE)</f>
        <v>720</v>
      </c>
      <c r="Z120" s="17">
        <f t="shared" si="187"/>
        <v>0.64375000000000004</v>
      </c>
      <c r="AA120" s="17">
        <f t="shared" si="188"/>
        <v>463.50000000000006</v>
      </c>
      <c r="AB120" s="17">
        <f>(VLOOKUP(V120,物品id!A:E,5,FALSE)*挂机玩法填表!Z120+VLOOKUP(挂机玩法填表!W120,物品id!A:E,5,FALSE)*挂机玩法填表!AA120)/(U120/60)</f>
        <v>37.286000000000001</v>
      </c>
      <c r="AD120" s="17" t="str">
        <f>IF(G120="","",VLOOKUP(G120,物品id!$A:$B,2,FALSE)&amp;",")</f>
        <v>2211,</v>
      </c>
      <c r="AE120" s="17" t="str">
        <f>IF(H120="","",VLOOKUP(H120,物品id!$A:$B,2,FALSE)&amp;",")</f>
        <v>2311,</v>
      </c>
      <c r="AF120" s="17" t="str">
        <f>IF(I120="","",VLOOKUP(I120,物品id!$A:$B,2,FALSE)&amp;",")</f>
        <v>2321,</v>
      </c>
      <c r="AG120" s="47" t="str">
        <f t="shared" ref="AG120:AG121" si="258">AD120&amp;AE120&amp;AF120</f>
        <v>2211,2311,2321,</v>
      </c>
      <c r="AH120" s="47" t="str">
        <f t="shared" ref="AH120:AH121" si="259">"["&amp;LEFT(AG120,LEN(AG120)-1)&amp;"]"</f>
        <v>[2211,2311,2321]</v>
      </c>
      <c r="AI120" s="17" t="str">
        <f t="shared" si="247"/>
        <v>4,</v>
      </c>
      <c r="AJ120" s="17" t="str">
        <f t="shared" si="248"/>
        <v>4,</v>
      </c>
      <c r="AK120" s="17" t="str">
        <f t="shared" si="249"/>
        <v>3,</v>
      </c>
      <c r="AL120" s="47" t="str">
        <f t="shared" ref="AL120:AL121" si="260">AI120&amp;AJ120&amp;AK120</f>
        <v>4,4,3,</v>
      </c>
      <c r="AM120" s="47" t="str">
        <f t="shared" ref="AM120:AM121" si="261">"["&amp;LEFT(AL120,LEN(AL120)-1)&amp;"]"</f>
        <v>[4,4,3]</v>
      </c>
      <c r="AN120" s="47" t="str">
        <f>VLOOKUP(T120,物品id!$A:$B,2,FALSE)&amp;","</f>
        <v>102,</v>
      </c>
      <c r="AO120" s="17" t="str">
        <f t="shared" si="193"/>
        <v>[102]</v>
      </c>
      <c r="AP120" s="47" t="str">
        <f t="shared" si="184"/>
        <v>120,</v>
      </c>
      <c r="AQ120" s="17" t="str">
        <f t="shared" si="194"/>
        <v>[120]</v>
      </c>
      <c r="AR120" s="47" t="str">
        <f>IF(V120="","",VLOOKUP(V120,物品id!$A:$B,2,FALSE)&amp;",")</f>
        <v>20037,</v>
      </c>
      <c r="AS120" s="47" t="str">
        <f>IF(W120="","",VLOOKUP(W120,物品id!$A:$B,2,FALSE)&amp;",")</f>
        <v>102,</v>
      </c>
      <c r="AT120" s="47" t="str">
        <f t="shared" ref="AT120:AT121" si="262">AR120&amp;AS120</f>
        <v>20037,102,</v>
      </c>
      <c r="AU120" s="47" t="str">
        <f t="shared" ref="AU120:AU121" si="263">"["&amp;LEFT(AT120,LEN(AT120)-1)&amp;"]"</f>
        <v>[20037,102]</v>
      </c>
      <c r="AV120" s="47" t="str">
        <f t="shared" si="185"/>
        <v>1,</v>
      </c>
      <c r="AW120" s="47" t="str">
        <f t="shared" si="186"/>
        <v>720,</v>
      </c>
      <c r="AX120" s="47" t="str">
        <f t="shared" ref="AX120:AX121" si="264">AV120&amp;AW120</f>
        <v>1,720,</v>
      </c>
      <c r="AY120" s="47" t="str">
        <f t="shared" ref="AY120:AY121" si="265">"["&amp;LEFT(AX120,LEN(AX120)-1)&amp;"]"</f>
        <v>[1,720]</v>
      </c>
    </row>
    <row r="121" spans="1:51" s="47" customFormat="1" x14ac:dyDescent="0.2">
      <c r="A121" s="47">
        <v>4</v>
      </c>
      <c r="B121" s="47" t="s">
        <v>1032</v>
      </c>
      <c r="C121" s="47">
        <v>45</v>
      </c>
      <c r="D121" s="34" t="s">
        <v>1150</v>
      </c>
      <c r="E121" s="47" t="s">
        <v>1017</v>
      </c>
      <c r="F121" s="47">
        <v>3</v>
      </c>
      <c r="G121" s="47" t="s">
        <v>825</v>
      </c>
      <c r="H121" s="47" t="s">
        <v>827</v>
      </c>
      <c r="I121" s="47" t="s">
        <v>828</v>
      </c>
      <c r="J121" s="17">
        <v>1</v>
      </c>
      <c r="K121" s="17">
        <v>0.8</v>
      </c>
      <c r="L121" s="17">
        <v>0</v>
      </c>
      <c r="M121" s="35">
        <f>(IF(G121="",挂机玩法规划!$L$2,VLOOKUP(G121,物品id!A:D,4,FALSE)*IF(J121=0,1,4))*IF(J121=0,1,J121)+IF(H121="",挂机玩法规划!$L$2,VLOOKUP(H121,物品id!A:D,4,FALSE)*IF(K121=0,1,4))*IF(K121=0,1,K121)+IF(I121="",挂机玩法规划!$L$2,VLOOKUP(I121,物品id!A:D,4,FALSE)*IF(L121=0,1,4))*IF(L121=0,1,L121))/O121</f>
        <v>0.64375000000000004</v>
      </c>
      <c r="N121" s="44">
        <f>IF(G121="",挂机玩法规划!$L$2,VLOOKUP(G121,物品id!A:D,4,FALSE)*4)+IF(H121="",挂机玩法规划!$L$2,VLOOKUP(H121,物品id!A:D,4,FALSE)*4)+IF(I121="",挂机玩法规划!$L$2,VLOOKUP(I121,物品id!A:D,4,FALSE)*4)</f>
        <v>320</v>
      </c>
      <c r="O121" s="48">
        <v>320</v>
      </c>
      <c r="P121" s="47">
        <v>4</v>
      </c>
      <c r="Q121" s="47">
        <v>4</v>
      </c>
      <c r="R121" s="47">
        <v>3</v>
      </c>
      <c r="S121" s="47">
        <v>120</v>
      </c>
      <c r="T121" s="47" t="s">
        <v>835</v>
      </c>
      <c r="U121" s="47">
        <v>120</v>
      </c>
      <c r="V121" s="47" t="s">
        <v>841</v>
      </c>
      <c r="W121" s="47" t="s">
        <v>200</v>
      </c>
      <c r="X121" s="47">
        <v>1</v>
      </c>
      <c r="Y121" s="47">
        <f>U121*挂机玩法规划!$O$4*VLOOKUP(E121,挂机玩法规划!$G$2:$I$17,3,FALSE)</f>
        <v>720</v>
      </c>
      <c r="Z121" s="17">
        <f t="shared" si="187"/>
        <v>0.64375000000000004</v>
      </c>
      <c r="AA121" s="17">
        <f t="shared" si="188"/>
        <v>463.50000000000006</v>
      </c>
      <c r="AB121" s="17">
        <f>(VLOOKUP(V121,物品id!A:E,5,FALSE)*挂机玩法填表!Z121+VLOOKUP(挂机玩法填表!W121,物品id!A:E,5,FALSE)*挂机玩法填表!AA121)/(U121/60)</f>
        <v>37.286000000000001</v>
      </c>
      <c r="AD121" s="17" t="str">
        <f>IF(G121="","",VLOOKUP(G121,物品id!$A:$B,2,FALSE)&amp;",")</f>
        <v>3211,</v>
      </c>
      <c r="AE121" s="17" t="str">
        <f>IF(H121="","",VLOOKUP(H121,物品id!$A:$B,2,FALSE)&amp;",")</f>
        <v>3311,</v>
      </c>
      <c r="AF121" s="17" t="str">
        <f>IF(I121="","",VLOOKUP(I121,物品id!$A:$B,2,FALSE)&amp;",")</f>
        <v>3321,</v>
      </c>
      <c r="AG121" s="47" t="str">
        <f t="shared" si="258"/>
        <v>3211,3311,3321,</v>
      </c>
      <c r="AH121" s="47" t="str">
        <f t="shared" si="259"/>
        <v>[3211,3311,3321]</v>
      </c>
      <c r="AI121" s="17" t="str">
        <f t="shared" si="247"/>
        <v>4,</v>
      </c>
      <c r="AJ121" s="17" t="str">
        <f t="shared" si="248"/>
        <v>4,</v>
      </c>
      <c r="AK121" s="17" t="str">
        <f t="shared" si="249"/>
        <v>3,</v>
      </c>
      <c r="AL121" s="47" t="str">
        <f t="shared" si="260"/>
        <v>4,4,3,</v>
      </c>
      <c r="AM121" s="47" t="str">
        <f t="shared" si="261"/>
        <v>[4,4,3]</v>
      </c>
      <c r="AN121" s="47" t="str">
        <f>VLOOKUP(T121,物品id!$A:$B,2,FALSE)&amp;","</f>
        <v>102,</v>
      </c>
      <c r="AO121" s="17" t="str">
        <f t="shared" si="193"/>
        <v>[102]</v>
      </c>
      <c r="AP121" s="47" t="str">
        <f t="shared" si="184"/>
        <v>120,</v>
      </c>
      <c r="AQ121" s="17" t="str">
        <f t="shared" si="194"/>
        <v>[120]</v>
      </c>
      <c r="AR121" s="47" t="str">
        <f>IF(V121="","",VLOOKUP(V121,物品id!$A:$B,2,FALSE)&amp;",")</f>
        <v>20037,</v>
      </c>
      <c r="AS121" s="47" t="str">
        <f>IF(W121="","",VLOOKUP(W121,物品id!$A:$B,2,FALSE)&amp;",")</f>
        <v>102,</v>
      </c>
      <c r="AT121" s="47" t="str">
        <f t="shared" si="262"/>
        <v>20037,102,</v>
      </c>
      <c r="AU121" s="47" t="str">
        <f t="shared" si="263"/>
        <v>[20037,102]</v>
      </c>
      <c r="AV121" s="47" t="str">
        <f t="shared" si="185"/>
        <v>1,</v>
      </c>
      <c r="AW121" s="47" t="str">
        <f t="shared" si="186"/>
        <v>720,</v>
      </c>
      <c r="AX121" s="47" t="str">
        <f t="shared" si="264"/>
        <v>1,720,</v>
      </c>
      <c r="AY121" s="47" t="str">
        <f t="shared" si="265"/>
        <v>[1,720]</v>
      </c>
    </row>
    <row r="122" spans="1:51" s="47" customFormat="1" x14ac:dyDescent="0.2">
      <c r="A122" s="47">
        <v>4</v>
      </c>
      <c r="B122" s="47" t="s">
        <v>1032</v>
      </c>
      <c r="C122" s="47">
        <v>45</v>
      </c>
      <c r="D122" s="34" t="s">
        <v>1150</v>
      </c>
      <c r="E122" s="47" t="s">
        <v>1031</v>
      </c>
      <c r="F122" s="47">
        <v>3</v>
      </c>
      <c r="G122" s="47" t="s">
        <v>804</v>
      </c>
      <c r="H122" s="47" t="s">
        <v>806</v>
      </c>
      <c r="I122" s="47" t="s">
        <v>807</v>
      </c>
      <c r="J122" s="17">
        <v>1</v>
      </c>
      <c r="K122" s="17">
        <v>0.8</v>
      </c>
      <c r="L122" s="17">
        <v>0</v>
      </c>
      <c r="M122" s="35">
        <f>(IF(G122="",挂机玩法规划!$L$2,VLOOKUP(G122,物品id!A:D,4,FALSE)*IF(J122=0,1,4))*IF(J122=0,1,J122)+IF(H122="",挂机玩法规划!$L$2,VLOOKUP(H122,物品id!A:D,4,FALSE)*IF(K122=0,1,4))*IF(K122=0,1,K122)+IF(I122="",挂机玩法规划!$L$2,VLOOKUP(I122,物品id!A:D,4,FALSE)*IF(L122=0,1,4))*IF(L122=0,1,L122))/O122</f>
        <v>0.64375000000000004</v>
      </c>
      <c r="N122" s="44">
        <f>IF(G122="",挂机玩法规划!$L$2,VLOOKUP(G122,物品id!A:D,4,FALSE)*4)+IF(H122="",挂机玩法规划!$L$2,VLOOKUP(H122,物品id!A:D,4,FALSE)*4)+IF(I122="",挂机玩法规划!$L$2,VLOOKUP(I122,物品id!A:D,4,FALSE)*4)</f>
        <v>320</v>
      </c>
      <c r="O122" s="48">
        <v>320</v>
      </c>
      <c r="P122" s="47">
        <v>4</v>
      </c>
      <c r="Q122" s="47">
        <v>4</v>
      </c>
      <c r="R122" s="47">
        <v>3</v>
      </c>
      <c r="S122" s="47">
        <v>240</v>
      </c>
      <c r="T122" s="47" t="s">
        <v>835</v>
      </c>
      <c r="U122" s="47">
        <v>240</v>
      </c>
      <c r="V122" s="47" t="s">
        <v>841</v>
      </c>
      <c r="W122" s="47" t="s">
        <v>200</v>
      </c>
      <c r="X122" s="47">
        <v>2</v>
      </c>
      <c r="Y122" s="47">
        <f>U122*挂机玩法规划!$O$4*VLOOKUP(E122,挂机玩法规划!$G$2:$I$17,3,FALSE)</f>
        <v>1440</v>
      </c>
      <c r="Z122" s="17">
        <f t="shared" si="187"/>
        <v>1.2875000000000001</v>
      </c>
      <c r="AA122" s="17">
        <f t="shared" si="188"/>
        <v>927.00000000000011</v>
      </c>
      <c r="AB122" s="17">
        <f>(VLOOKUP(V122,物品id!A:E,5,FALSE)*挂机玩法填表!Z122+VLOOKUP(挂机玩法填表!W122,物品id!A:E,5,FALSE)*挂机玩法填表!AA122)/(U122/60)</f>
        <v>37.286000000000001</v>
      </c>
      <c r="AD122" s="17" t="str">
        <f>IF(G122="","",VLOOKUP(G122,物品id!$A:$B,2,FALSE)&amp;",")</f>
        <v>1211,</v>
      </c>
      <c r="AE122" s="17" t="str">
        <f>IF(H122="","",VLOOKUP(H122,物品id!$A:$B,2,FALSE)&amp;",")</f>
        <v>1311,</v>
      </c>
      <c r="AF122" s="17" t="str">
        <f>IF(I122="","",VLOOKUP(I122,物品id!$A:$B,2,FALSE)&amp;",")</f>
        <v>1321,</v>
      </c>
      <c r="AG122" s="47" t="str">
        <f t="shared" si="42"/>
        <v>1211,1311,1321,</v>
      </c>
      <c r="AH122" s="47" t="str">
        <f t="shared" si="43"/>
        <v>[1211,1311,1321]</v>
      </c>
      <c r="AI122" s="17" t="str">
        <f t="shared" si="247"/>
        <v>4,</v>
      </c>
      <c r="AJ122" s="17" t="str">
        <f t="shared" si="248"/>
        <v>4,</v>
      </c>
      <c r="AK122" s="17" t="str">
        <f t="shared" si="249"/>
        <v>3,</v>
      </c>
      <c r="AL122" s="47" t="str">
        <f t="shared" si="44"/>
        <v>4,4,3,</v>
      </c>
      <c r="AM122" s="47" t="str">
        <f t="shared" si="45"/>
        <v>[4,4,3]</v>
      </c>
      <c r="AN122" s="47" t="str">
        <f>VLOOKUP(T122,物品id!$A:$B,2,FALSE)&amp;","</f>
        <v>102,</v>
      </c>
      <c r="AO122" s="17" t="str">
        <f t="shared" si="193"/>
        <v>[102]</v>
      </c>
      <c r="AP122" s="47" t="str">
        <f t="shared" si="184"/>
        <v>240,</v>
      </c>
      <c r="AQ122" s="17" t="str">
        <f t="shared" si="194"/>
        <v>[240]</v>
      </c>
      <c r="AR122" s="47" t="str">
        <f>IF(V122="","",VLOOKUP(V122,物品id!$A:$B,2,FALSE)&amp;",")</f>
        <v>20037,</v>
      </c>
      <c r="AS122" s="47" t="str">
        <f>IF(W122="","",VLOOKUP(W122,物品id!$A:$B,2,FALSE)&amp;",")</f>
        <v>102,</v>
      </c>
      <c r="AT122" s="47" t="str">
        <f t="shared" si="46"/>
        <v>20037,102,</v>
      </c>
      <c r="AU122" s="47" t="str">
        <f t="shared" si="47"/>
        <v>[20037,102]</v>
      </c>
      <c r="AV122" s="47" t="str">
        <f t="shared" si="185"/>
        <v>2,</v>
      </c>
      <c r="AW122" s="47" t="str">
        <f t="shared" si="186"/>
        <v>1440,</v>
      </c>
      <c r="AX122" s="47" t="str">
        <f t="shared" si="48"/>
        <v>2,1440,</v>
      </c>
      <c r="AY122" s="47" t="str">
        <f t="shared" si="49"/>
        <v>[2,1440]</v>
      </c>
    </row>
    <row r="123" spans="1:51" s="47" customFormat="1" x14ac:dyDescent="0.2">
      <c r="A123" s="47">
        <v>4</v>
      </c>
      <c r="B123" s="47" t="s">
        <v>1032</v>
      </c>
      <c r="C123" s="47">
        <v>45</v>
      </c>
      <c r="D123" s="34" t="s">
        <v>1150</v>
      </c>
      <c r="E123" s="47" t="s">
        <v>1017</v>
      </c>
      <c r="F123" s="47">
        <v>3</v>
      </c>
      <c r="G123" s="47" t="s">
        <v>815</v>
      </c>
      <c r="H123" s="47" t="s">
        <v>817</v>
      </c>
      <c r="I123" s="47" t="s">
        <v>818</v>
      </c>
      <c r="J123" s="17">
        <v>1</v>
      </c>
      <c r="K123" s="17">
        <v>0.8</v>
      </c>
      <c r="L123" s="17">
        <v>0</v>
      </c>
      <c r="M123" s="35">
        <f>(IF(G123="",挂机玩法规划!$L$2,VLOOKUP(G123,物品id!A:D,4,FALSE)*IF(J123=0,1,4))*IF(J123=0,1,J123)+IF(H123="",挂机玩法规划!$L$2,VLOOKUP(H123,物品id!A:D,4,FALSE)*IF(K123=0,1,4))*IF(K123=0,1,K123)+IF(I123="",挂机玩法规划!$L$2,VLOOKUP(I123,物品id!A:D,4,FALSE)*IF(L123=0,1,4))*IF(L123=0,1,L123))/O123</f>
        <v>0.64375000000000004</v>
      </c>
      <c r="N123" s="44">
        <f>IF(G123="",挂机玩法规划!$L$2,VLOOKUP(G123,物品id!A:D,4,FALSE)*4)+IF(H123="",挂机玩法规划!$L$2,VLOOKUP(H123,物品id!A:D,4,FALSE)*4)+IF(I123="",挂机玩法规划!$L$2,VLOOKUP(I123,物品id!A:D,4,FALSE)*4)</f>
        <v>320</v>
      </c>
      <c r="O123" s="48">
        <v>320</v>
      </c>
      <c r="P123" s="47">
        <v>4</v>
      </c>
      <c r="Q123" s="47">
        <v>4</v>
      </c>
      <c r="R123" s="47">
        <v>3</v>
      </c>
      <c r="S123" s="47">
        <v>240</v>
      </c>
      <c r="T123" s="47" t="s">
        <v>835</v>
      </c>
      <c r="U123" s="47">
        <v>240</v>
      </c>
      <c r="V123" s="47" t="s">
        <v>841</v>
      </c>
      <c r="W123" s="47" t="s">
        <v>200</v>
      </c>
      <c r="X123" s="47">
        <v>2</v>
      </c>
      <c r="Y123" s="47">
        <f>U123*挂机玩法规划!$O$4*VLOOKUP(E123,挂机玩法规划!$G$2:$I$17,3,FALSE)</f>
        <v>1440</v>
      </c>
      <c r="Z123" s="17">
        <f t="shared" si="187"/>
        <v>1.2875000000000001</v>
      </c>
      <c r="AA123" s="17">
        <f t="shared" si="188"/>
        <v>927.00000000000011</v>
      </c>
      <c r="AB123" s="17">
        <f>(VLOOKUP(V123,物品id!A:E,5,FALSE)*挂机玩法填表!Z123+VLOOKUP(挂机玩法填表!W123,物品id!A:E,5,FALSE)*挂机玩法填表!AA123)/(U123/60)</f>
        <v>37.286000000000001</v>
      </c>
      <c r="AD123" s="17" t="str">
        <f>IF(G123="","",VLOOKUP(G123,物品id!$A:$B,2,FALSE)&amp;",")</f>
        <v>2211,</v>
      </c>
      <c r="AE123" s="17" t="str">
        <f>IF(H123="","",VLOOKUP(H123,物品id!$A:$B,2,FALSE)&amp;",")</f>
        <v>2311,</v>
      </c>
      <c r="AF123" s="17" t="str">
        <f>IF(I123="","",VLOOKUP(I123,物品id!$A:$B,2,FALSE)&amp;",")</f>
        <v>2321,</v>
      </c>
      <c r="AG123" s="47" t="str">
        <f t="shared" ref="AG123:AG124" si="266">AD123&amp;AE123&amp;AF123</f>
        <v>2211,2311,2321,</v>
      </c>
      <c r="AH123" s="47" t="str">
        <f t="shared" ref="AH123:AH124" si="267">"["&amp;LEFT(AG123,LEN(AG123)-1)&amp;"]"</f>
        <v>[2211,2311,2321]</v>
      </c>
      <c r="AI123" s="17" t="str">
        <f t="shared" si="247"/>
        <v>4,</v>
      </c>
      <c r="AJ123" s="17" t="str">
        <f t="shared" si="248"/>
        <v>4,</v>
      </c>
      <c r="AK123" s="17" t="str">
        <f t="shared" si="249"/>
        <v>3,</v>
      </c>
      <c r="AL123" s="47" t="str">
        <f t="shared" ref="AL123:AL124" si="268">AI123&amp;AJ123&amp;AK123</f>
        <v>4,4,3,</v>
      </c>
      <c r="AM123" s="47" t="str">
        <f t="shared" ref="AM123:AM124" si="269">"["&amp;LEFT(AL123,LEN(AL123)-1)&amp;"]"</f>
        <v>[4,4,3]</v>
      </c>
      <c r="AN123" s="47" t="str">
        <f>VLOOKUP(T123,物品id!$A:$B,2,FALSE)&amp;","</f>
        <v>102,</v>
      </c>
      <c r="AO123" s="17" t="str">
        <f t="shared" si="193"/>
        <v>[102]</v>
      </c>
      <c r="AP123" s="47" t="str">
        <f t="shared" si="184"/>
        <v>240,</v>
      </c>
      <c r="AQ123" s="17" t="str">
        <f t="shared" si="194"/>
        <v>[240]</v>
      </c>
      <c r="AR123" s="47" t="str">
        <f>IF(V123="","",VLOOKUP(V123,物品id!$A:$B,2,FALSE)&amp;",")</f>
        <v>20037,</v>
      </c>
      <c r="AS123" s="47" t="str">
        <f>IF(W123="","",VLOOKUP(W123,物品id!$A:$B,2,FALSE)&amp;",")</f>
        <v>102,</v>
      </c>
      <c r="AT123" s="47" t="str">
        <f t="shared" ref="AT123:AT124" si="270">AR123&amp;AS123</f>
        <v>20037,102,</v>
      </c>
      <c r="AU123" s="47" t="str">
        <f t="shared" ref="AU123:AU124" si="271">"["&amp;LEFT(AT123,LEN(AT123)-1)&amp;"]"</f>
        <v>[20037,102]</v>
      </c>
      <c r="AV123" s="47" t="str">
        <f t="shared" si="185"/>
        <v>2,</v>
      </c>
      <c r="AW123" s="47" t="str">
        <f t="shared" si="186"/>
        <v>1440,</v>
      </c>
      <c r="AX123" s="47" t="str">
        <f t="shared" ref="AX123:AX124" si="272">AV123&amp;AW123</f>
        <v>2,1440,</v>
      </c>
      <c r="AY123" s="47" t="str">
        <f t="shared" ref="AY123:AY124" si="273">"["&amp;LEFT(AX123,LEN(AX123)-1)&amp;"]"</f>
        <v>[2,1440]</v>
      </c>
    </row>
    <row r="124" spans="1:51" s="47" customFormat="1" x14ac:dyDescent="0.2">
      <c r="A124" s="47">
        <v>4</v>
      </c>
      <c r="B124" s="47" t="s">
        <v>1032</v>
      </c>
      <c r="C124" s="47">
        <v>45</v>
      </c>
      <c r="D124" s="34" t="s">
        <v>1150</v>
      </c>
      <c r="E124" s="47" t="s">
        <v>1017</v>
      </c>
      <c r="F124" s="47">
        <v>3</v>
      </c>
      <c r="G124" s="47" t="s">
        <v>825</v>
      </c>
      <c r="H124" s="47" t="s">
        <v>827</v>
      </c>
      <c r="I124" s="47" t="s">
        <v>828</v>
      </c>
      <c r="J124" s="17">
        <v>1</v>
      </c>
      <c r="K124" s="17">
        <v>0.8</v>
      </c>
      <c r="L124" s="17">
        <v>0</v>
      </c>
      <c r="M124" s="35">
        <f>(IF(G124="",挂机玩法规划!$L$2,VLOOKUP(G124,物品id!A:D,4,FALSE)*IF(J124=0,1,4))*IF(J124=0,1,J124)+IF(H124="",挂机玩法规划!$L$2,VLOOKUP(H124,物品id!A:D,4,FALSE)*IF(K124=0,1,4))*IF(K124=0,1,K124)+IF(I124="",挂机玩法规划!$L$2,VLOOKUP(I124,物品id!A:D,4,FALSE)*IF(L124=0,1,4))*IF(L124=0,1,L124))/O124</f>
        <v>0.64375000000000004</v>
      </c>
      <c r="N124" s="44">
        <f>IF(G124="",挂机玩法规划!$L$2,VLOOKUP(G124,物品id!A:D,4,FALSE)*4)+IF(H124="",挂机玩法规划!$L$2,VLOOKUP(H124,物品id!A:D,4,FALSE)*4)+IF(I124="",挂机玩法规划!$L$2,VLOOKUP(I124,物品id!A:D,4,FALSE)*4)</f>
        <v>320</v>
      </c>
      <c r="O124" s="48">
        <v>320</v>
      </c>
      <c r="P124" s="47">
        <v>4</v>
      </c>
      <c r="Q124" s="47">
        <v>4</v>
      </c>
      <c r="R124" s="47">
        <v>3</v>
      </c>
      <c r="S124" s="47">
        <v>240</v>
      </c>
      <c r="T124" s="47" t="s">
        <v>835</v>
      </c>
      <c r="U124" s="47">
        <v>240</v>
      </c>
      <c r="V124" s="47" t="s">
        <v>841</v>
      </c>
      <c r="W124" s="47" t="s">
        <v>200</v>
      </c>
      <c r="X124" s="47">
        <v>2</v>
      </c>
      <c r="Y124" s="47">
        <f>U124*挂机玩法规划!$O$4*VLOOKUP(E124,挂机玩法规划!$G$2:$I$17,3,FALSE)</f>
        <v>1440</v>
      </c>
      <c r="Z124" s="17">
        <f t="shared" si="187"/>
        <v>1.2875000000000001</v>
      </c>
      <c r="AA124" s="17">
        <f t="shared" si="188"/>
        <v>927.00000000000011</v>
      </c>
      <c r="AB124" s="17">
        <f>(VLOOKUP(V124,物品id!A:E,5,FALSE)*挂机玩法填表!Z124+VLOOKUP(挂机玩法填表!W124,物品id!A:E,5,FALSE)*挂机玩法填表!AA124)/(U124/60)</f>
        <v>37.286000000000001</v>
      </c>
      <c r="AD124" s="17" t="str">
        <f>IF(G124="","",VLOOKUP(G124,物品id!$A:$B,2,FALSE)&amp;",")</f>
        <v>3211,</v>
      </c>
      <c r="AE124" s="17" t="str">
        <f>IF(H124="","",VLOOKUP(H124,物品id!$A:$B,2,FALSE)&amp;",")</f>
        <v>3311,</v>
      </c>
      <c r="AF124" s="17" t="str">
        <f>IF(I124="","",VLOOKUP(I124,物品id!$A:$B,2,FALSE)&amp;",")</f>
        <v>3321,</v>
      </c>
      <c r="AG124" s="47" t="str">
        <f t="shared" si="266"/>
        <v>3211,3311,3321,</v>
      </c>
      <c r="AH124" s="47" t="str">
        <f t="shared" si="267"/>
        <v>[3211,3311,3321]</v>
      </c>
      <c r="AI124" s="17" t="str">
        <f t="shared" si="247"/>
        <v>4,</v>
      </c>
      <c r="AJ124" s="17" t="str">
        <f t="shared" si="248"/>
        <v>4,</v>
      </c>
      <c r="AK124" s="17" t="str">
        <f t="shared" si="249"/>
        <v>3,</v>
      </c>
      <c r="AL124" s="47" t="str">
        <f t="shared" si="268"/>
        <v>4,4,3,</v>
      </c>
      <c r="AM124" s="47" t="str">
        <f t="shared" si="269"/>
        <v>[4,4,3]</v>
      </c>
      <c r="AN124" s="47" t="str">
        <f>VLOOKUP(T124,物品id!$A:$B,2,FALSE)&amp;","</f>
        <v>102,</v>
      </c>
      <c r="AO124" s="17" t="str">
        <f t="shared" si="193"/>
        <v>[102]</v>
      </c>
      <c r="AP124" s="47" t="str">
        <f t="shared" si="184"/>
        <v>240,</v>
      </c>
      <c r="AQ124" s="17" t="str">
        <f t="shared" si="194"/>
        <v>[240]</v>
      </c>
      <c r="AR124" s="47" t="str">
        <f>IF(V124="","",VLOOKUP(V124,物品id!$A:$B,2,FALSE)&amp;",")</f>
        <v>20037,</v>
      </c>
      <c r="AS124" s="47" t="str">
        <f>IF(W124="","",VLOOKUP(W124,物品id!$A:$B,2,FALSE)&amp;",")</f>
        <v>102,</v>
      </c>
      <c r="AT124" s="47" t="str">
        <f t="shared" si="270"/>
        <v>20037,102,</v>
      </c>
      <c r="AU124" s="47" t="str">
        <f t="shared" si="271"/>
        <v>[20037,102]</v>
      </c>
      <c r="AV124" s="47" t="str">
        <f t="shared" si="185"/>
        <v>2,</v>
      </c>
      <c r="AW124" s="47" t="str">
        <f t="shared" si="186"/>
        <v>1440,</v>
      </c>
      <c r="AX124" s="47" t="str">
        <f t="shared" si="272"/>
        <v>2,1440,</v>
      </c>
      <c r="AY124" s="47" t="str">
        <f t="shared" si="273"/>
        <v>[2,1440]</v>
      </c>
    </row>
    <row r="125" spans="1:51" s="47" customFormat="1" x14ac:dyDescent="0.2">
      <c r="A125" s="47">
        <v>4</v>
      </c>
      <c r="B125" s="47" t="s">
        <v>1032</v>
      </c>
      <c r="C125" s="47">
        <v>45</v>
      </c>
      <c r="D125" s="34" t="s">
        <v>1150</v>
      </c>
      <c r="E125" s="47" t="s">
        <v>1031</v>
      </c>
      <c r="F125" s="47">
        <v>3</v>
      </c>
      <c r="G125" s="47" t="s">
        <v>804</v>
      </c>
      <c r="H125" s="47" t="s">
        <v>806</v>
      </c>
      <c r="I125" s="47" t="s">
        <v>807</v>
      </c>
      <c r="J125" s="17">
        <v>1</v>
      </c>
      <c r="K125" s="17">
        <v>0.8</v>
      </c>
      <c r="L125" s="17">
        <v>0</v>
      </c>
      <c r="M125" s="35">
        <f>(IF(G125="",挂机玩法规划!$L$2,VLOOKUP(G125,物品id!A:D,4,FALSE)*IF(J125=0,1,4))*IF(J125=0,1,J125)+IF(H125="",挂机玩法规划!$L$2,VLOOKUP(H125,物品id!A:D,4,FALSE)*IF(K125=0,1,4))*IF(K125=0,1,K125)+IF(I125="",挂机玩法规划!$L$2,VLOOKUP(I125,物品id!A:D,4,FALSE)*IF(L125=0,1,4))*IF(L125=0,1,L125))/O125</f>
        <v>0.64375000000000004</v>
      </c>
      <c r="N125" s="44">
        <f>IF(G125="",挂机玩法规划!$L$2,VLOOKUP(G125,物品id!A:D,4,FALSE)*4)+IF(H125="",挂机玩法规划!$L$2,VLOOKUP(H125,物品id!A:D,4,FALSE)*4)+IF(I125="",挂机玩法规划!$L$2,VLOOKUP(I125,物品id!A:D,4,FALSE)*4)</f>
        <v>320</v>
      </c>
      <c r="O125" s="48">
        <v>320</v>
      </c>
      <c r="P125" s="47">
        <v>4</v>
      </c>
      <c r="Q125" s="47">
        <v>4</v>
      </c>
      <c r="R125" s="47">
        <v>3</v>
      </c>
      <c r="S125" s="47">
        <v>480</v>
      </c>
      <c r="T125" s="47" t="s">
        <v>835</v>
      </c>
      <c r="U125" s="47">
        <v>480</v>
      </c>
      <c r="V125" s="47" t="s">
        <v>841</v>
      </c>
      <c r="W125" s="47" t="s">
        <v>200</v>
      </c>
      <c r="X125" s="47">
        <v>3</v>
      </c>
      <c r="Y125" s="47">
        <f>U125*挂机玩法规划!$O$4*VLOOKUP(E125,挂机玩法规划!$G$2:$I$17,3,FALSE)</f>
        <v>2880</v>
      </c>
      <c r="Z125" s="17">
        <f t="shared" si="187"/>
        <v>1.9312500000000001</v>
      </c>
      <c r="AA125" s="17">
        <f t="shared" si="188"/>
        <v>1854.0000000000002</v>
      </c>
      <c r="AB125" s="17">
        <f>(VLOOKUP(V125,物品id!A:E,5,FALSE)*挂机玩法填表!Z125+VLOOKUP(挂机玩法填表!W125,物品id!A:E,5,FALSE)*挂机玩法填表!AA125)/(U125/60)</f>
        <v>29.239125000000001</v>
      </c>
      <c r="AD125" s="17" t="str">
        <f>IF(G125="","",VLOOKUP(G125,物品id!$A:$B,2,FALSE)&amp;",")</f>
        <v>1211,</v>
      </c>
      <c r="AE125" s="17" t="str">
        <f>IF(H125="","",VLOOKUP(H125,物品id!$A:$B,2,FALSE)&amp;",")</f>
        <v>1311,</v>
      </c>
      <c r="AF125" s="17" t="str">
        <f>IF(I125="","",VLOOKUP(I125,物品id!$A:$B,2,FALSE)&amp;",")</f>
        <v>1321,</v>
      </c>
      <c r="AG125" s="47" t="str">
        <f t="shared" si="42"/>
        <v>1211,1311,1321,</v>
      </c>
      <c r="AH125" s="47" t="str">
        <f t="shared" si="43"/>
        <v>[1211,1311,1321]</v>
      </c>
      <c r="AI125" s="17" t="str">
        <f t="shared" si="247"/>
        <v>4,</v>
      </c>
      <c r="AJ125" s="17" t="str">
        <f t="shared" si="248"/>
        <v>4,</v>
      </c>
      <c r="AK125" s="17" t="str">
        <f t="shared" si="249"/>
        <v>3,</v>
      </c>
      <c r="AL125" s="47" t="str">
        <f t="shared" si="44"/>
        <v>4,4,3,</v>
      </c>
      <c r="AM125" s="47" t="str">
        <f t="shared" si="45"/>
        <v>[4,4,3]</v>
      </c>
      <c r="AN125" s="47" t="str">
        <f>VLOOKUP(T125,物品id!$A:$B,2,FALSE)&amp;","</f>
        <v>102,</v>
      </c>
      <c r="AO125" s="17" t="str">
        <f t="shared" si="193"/>
        <v>[102]</v>
      </c>
      <c r="AP125" s="47" t="str">
        <f t="shared" si="184"/>
        <v>480,</v>
      </c>
      <c r="AQ125" s="17" t="str">
        <f t="shared" si="194"/>
        <v>[480]</v>
      </c>
      <c r="AR125" s="47" t="str">
        <f>IF(V125="","",VLOOKUP(V125,物品id!$A:$B,2,FALSE)&amp;",")</f>
        <v>20037,</v>
      </c>
      <c r="AS125" s="47" t="str">
        <f>IF(W125="","",VLOOKUP(W125,物品id!$A:$B,2,FALSE)&amp;",")</f>
        <v>102,</v>
      </c>
      <c r="AT125" s="47" t="str">
        <f t="shared" si="46"/>
        <v>20037,102,</v>
      </c>
      <c r="AU125" s="47" t="str">
        <f t="shared" si="47"/>
        <v>[20037,102]</v>
      </c>
      <c r="AV125" s="47" t="str">
        <f t="shared" si="185"/>
        <v>3,</v>
      </c>
      <c r="AW125" s="47" t="str">
        <f t="shared" si="186"/>
        <v>2880,</v>
      </c>
      <c r="AX125" s="47" t="str">
        <f t="shared" si="48"/>
        <v>3,2880,</v>
      </c>
      <c r="AY125" s="47" t="str">
        <f t="shared" si="49"/>
        <v>[3,2880]</v>
      </c>
    </row>
    <row r="126" spans="1:51" s="47" customFormat="1" x14ac:dyDescent="0.2">
      <c r="A126" s="47">
        <v>4</v>
      </c>
      <c r="B126" s="47" t="s">
        <v>1032</v>
      </c>
      <c r="C126" s="47">
        <v>45</v>
      </c>
      <c r="D126" s="34" t="s">
        <v>1150</v>
      </c>
      <c r="E126" s="47" t="s">
        <v>1017</v>
      </c>
      <c r="F126" s="47">
        <v>3</v>
      </c>
      <c r="G126" s="47" t="s">
        <v>815</v>
      </c>
      <c r="H126" s="47" t="s">
        <v>817</v>
      </c>
      <c r="I126" s="47" t="s">
        <v>818</v>
      </c>
      <c r="J126" s="17">
        <v>1</v>
      </c>
      <c r="K126" s="17">
        <v>0.8</v>
      </c>
      <c r="L126" s="17">
        <v>0</v>
      </c>
      <c r="M126" s="35">
        <f>(IF(G126="",挂机玩法规划!$L$2,VLOOKUP(G126,物品id!A:D,4,FALSE)*IF(J126=0,1,4))*IF(J126=0,1,J126)+IF(H126="",挂机玩法规划!$L$2,VLOOKUP(H126,物品id!A:D,4,FALSE)*IF(K126=0,1,4))*IF(K126=0,1,K126)+IF(I126="",挂机玩法规划!$L$2,VLOOKUP(I126,物品id!A:D,4,FALSE)*IF(L126=0,1,4))*IF(L126=0,1,L126))/O126</f>
        <v>0.64375000000000004</v>
      </c>
      <c r="N126" s="44">
        <f>IF(G126="",挂机玩法规划!$L$2,VLOOKUP(G126,物品id!A:D,4,FALSE)*4)+IF(H126="",挂机玩法规划!$L$2,VLOOKUP(H126,物品id!A:D,4,FALSE)*4)+IF(I126="",挂机玩法规划!$L$2,VLOOKUP(I126,物品id!A:D,4,FALSE)*4)</f>
        <v>320</v>
      </c>
      <c r="O126" s="48">
        <v>320</v>
      </c>
      <c r="P126" s="47">
        <v>4</v>
      </c>
      <c r="Q126" s="47">
        <v>4</v>
      </c>
      <c r="R126" s="47">
        <v>3</v>
      </c>
      <c r="S126" s="47">
        <v>480</v>
      </c>
      <c r="T126" s="47" t="s">
        <v>835</v>
      </c>
      <c r="U126" s="47">
        <v>480</v>
      </c>
      <c r="V126" s="47" t="s">
        <v>841</v>
      </c>
      <c r="W126" s="47" t="s">
        <v>200</v>
      </c>
      <c r="X126" s="47">
        <v>3</v>
      </c>
      <c r="Y126" s="47">
        <f>U126*挂机玩法规划!$O$4*VLOOKUP(E126,挂机玩法规划!$G$2:$I$17,3,FALSE)</f>
        <v>2880</v>
      </c>
      <c r="Z126" s="17">
        <f t="shared" si="187"/>
        <v>1.9312500000000001</v>
      </c>
      <c r="AA126" s="17">
        <f t="shared" si="188"/>
        <v>1854.0000000000002</v>
      </c>
      <c r="AB126" s="17">
        <f>(VLOOKUP(V126,物品id!A:E,5,FALSE)*挂机玩法填表!Z126+VLOOKUP(挂机玩法填表!W126,物品id!A:E,5,FALSE)*挂机玩法填表!AA126)/(U126/60)</f>
        <v>29.239125000000001</v>
      </c>
      <c r="AD126" s="17" t="str">
        <f>IF(G126="","",VLOOKUP(G126,物品id!$A:$B,2,FALSE)&amp;",")</f>
        <v>2211,</v>
      </c>
      <c r="AE126" s="17" t="str">
        <f>IF(H126="","",VLOOKUP(H126,物品id!$A:$B,2,FALSE)&amp;",")</f>
        <v>2311,</v>
      </c>
      <c r="AF126" s="17" t="str">
        <f>IF(I126="","",VLOOKUP(I126,物品id!$A:$B,2,FALSE)&amp;",")</f>
        <v>2321,</v>
      </c>
      <c r="AG126" s="47" t="str">
        <f t="shared" ref="AG126:AG127" si="274">AD126&amp;AE126&amp;AF126</f>
        <v>2211,2311,2321,</v>
      </c>
      <c r="AH126" s="47" t="str">
        <f t="shared" ref="AH126:AH127" si="275">"["&amp;LEFT(AG126,LEN(AG126)-1)&amp;"]"</f>
        <v>[2211,2311,2321]</v>
      </c>
      <c r="AI126" s="17" t="str">
        <f t="shared" si="247"/>
        <v>4,</v>
      </c>
      <c r="AJ126" s="17" t="str">
        <f t="shared" si="248"/>
        <v>4,</v>
      </c>
      <c r="AK126" s="17" t="str">
        <f t="shared" si="249"/>
        <v>3,</v>
      </c>
      <c r="AL126" s="47" t="str">
        <f t="shared" ref="AL126:AL127" si="276">AI126&amp;AJ126&amp;AK126</f>
        <v>4,4,3,</v>
      </c>
      <c r="AM126" s="47" t="str">
        <f t="shared" ref="AM126:AM127" si="277">"["&amp;LEFT(AL126,LEN(AL126)-1)&amp;"]"</f>
        <v>[4,4,3]</v>
      </c>
      <c r="AN126" s="47" t="str">
        <f>VLOOKUP(T126,物品id!$A:$B,2,FALSE)&amp;","</f>
        <v>102,</v>
      </c>
      <c r="AO126" s="17" t="str">
        <f t="shared" si="193"/>
        <v>[102]</v>
      </c>
      <c r="AP126" s="47" t="str">
        <f t="shared" si="184"/>
        <v>480,</v>
      </c>
      <c r="AQ126" s="17" t="str">
        <f t="shared" si="194"/>
        <v>[480]</v>
      </c>
      <c r="AR126" s="47" t="str">
        <f>IF(V126="","",VLOOKUP(V126,物品id!$A:$B,2,FALSE)&amp;",")</f>
        <v>20037,</v>
      </c>
      <c r="AS126" s="47" t="str">
        <f>IF(W126="","",VLOOKUP(W126,物品id!$A:$B,2,FALSE)&amp;",")</f>
        <v>102,</v>
      </c>
      <c r="AT126" s="47" t="str">
        <f t="shared" ref="AT126:AT127" si="278">AR126&amp;AS126</f>
        <v>20037,102,</v>
      </c>
      <c r="AU126" s="47" t="str">
        <f t="shared" ref="AU126:AU127" si="279">"["&amp;LEFT(AT126,LEN(AT126)-1)&amp;"]"</f>
        <v>[20037,102]</v>
      </c>
      <c r="AV126" s="47" t="str">
        <f t="shared" si="185"/>
        <v>3,</v>
      </c>
      <c r="AW126" s="47" t="str">
        <f t="shared" si="186"/>
        <v>2880,</v>
      </c>
      <c r="AX126" s="47" t="str">
        <f t="shared" ref="AX126:AX127" si="280">AV126&amp;AW126</f>
        <v>3,2880,</v>
      </c>
      <c r="AY126" s="47" t="str">
        <f t="shared" ref="AY126:AY127" si="281">"["&amp;LEFT(AX126,LEN(AX126)-1)&amp;"]"</f>
        <v>[3,2880]</v>
      </c>
    </row>
    <row r="127" spans="1:51" s="47" customFormat="1" x14ac:dyDescent="0.2">
      <c r="A127" s="47">
        <v>4</v>
      </c>
      <c r="B127" s="47" t="s">
        <v>1032</v>
      </c>
      <c r="C127" s="47">
        <v>45</v>
      </c>
      <c r="D127" s="34" t="s">
        <v>1150</v>
      </c>
      <c r="E127" s="47" t="s">
        <v>1017</v>
      </c>
      <c r="F127" s="47">
        <v>3</v>
      </c>
      <c r="G127" s="47" t="s">
        <v>825</v>
      </c>
      <c r="H127" s="47" t="s">
        <v>827</v>
      </c>
      <c r="I127" s="47" t="s">
        <v>828</v>
      </c>
      <c r="J127" s="17">
        <v>1</v>
      </c>
      <c r="K127" s="17">
        <v>0.8</v>
      </c>
      <c r="L127" s="17">
        <v>0</v>
      </c>
      <c r="M127" s="35">
        <f>(IF(G127="",挂机玩法规划!$L$2,VLOOKUP(G127,物品id!A:D,4,FALSE)*IF(J127=0,1,4))*IF(J127=0,1,J127)+IF(H127="",挂机玩法规划!$L$2,VLOOKUP(H127,物品id!A:D,4,FALSE)*IF(K127=0,1,4))*IF(K127=0,1,K127)+IF(I127="",挂机玩法规划!$L$2,VLOOKUP(I127,物品id!A:D,4,FALSE)*IF(L127=0,1,4))*IF(L127=0,1,L127))/O127</f>
        <v>0.64375000000000004</v>
      </c>
      <c r="N127" s="44">
        <f>IF(G127="",挂机玩法规划!$L$2,VLOOKUP(G127,物品id!A:D,4,FALSE)*4)+IF(H127="",挂机玩法规划!$L$2,VLOOKUP(H127,物品id!A:D,4,FALSE)*4)+IF(I127="",挂机玩法规划!$L$2,VLOOKUP(I127,物品id!A:D,4,FALSE)*4)</f>
        <v>320</v>
      </c>
      <c r="O127" s="48">
        <v>320</v>
      </c>
      <c r="P127" s="47">
        <v>4</v>
      </c>
      <c r="Q127" s="47">
        <v>4</v>
      </c>
      <c r="R127" s="47">
        <v>3</v>
      </c>
      <c r="S127" s="47">
        <v>480</v>
      </c>
      <c r="T127" s="47" t="s">
        <v>835</v>
      </c>
      <c r="U127" s="47">
        <v>480</v>
      </c>
      <c r="V127" s="47" t="s">
        <v>841</v>
      </c>
      <c r="W127" s="47" t="s">
        <v>200</v>
      </c>
      <c r="X127" s="47">
        <v>3</v>
      </c>
      <c r="Y127" s="47">
        <f>U127*挂机玩法规划!$O$4*VLOOKUP(E127,挂机玩法规划!$G$2:$I$17,3,FALSE)</f>
        <v>2880</v>
      </c>
      <c r="Z127" s="17">
        <f t="shared" si="187"/>
        <v>1.9312500000000001</v>
      </c>
      <c r="AA127" s="17">
        <f t="shared" si="188"/>
        <v>1854.0000000000002</v>
      </c>
      <c r="AB127" s="17">
        <f>(VLOOKUP(V127,物品id!A:E,5,FALSE)*挂机玩法填表!Z127+VLOOKUP(挂机玩法填表!W127,物品id!A:E,5,FALSE)*挂机玩法填表!AA127)/(U127/60)</f>
        <v>29.239125000000001</v>
      </c>
      <c r="AD127" s="17" t="str">
        <f>IF(G127="","",VLOOKUP(G127,物品id!$A:$B,2,FALSE)&amp;",")</f>
        <v>3211,</v>
      </c>
      <c r="AE127" s="17" t="str">
        <f>IF(H127="","",VLOOKUP(H127,物品id!$A:$B,2,FALSE)&amp;",")</f>
        <v>3311,</v>
      </c>
      <c r="AF127" s="17" t="str">
        <f>IF(I127="","",VLOOKUP(I127,物品id!$A:$B,2,FALSE)&amp;",")</f>
        <v>3321,</v>
      </c>
      <c r="AG127" s="47" t="str">
        <f t="shared" si="274"/>
        <v>3211,3311,3321,</v>
      </c>
      <c r="AH127" s="47" t="str">
        <f t="shared" si="275"/>
        <v>[3211,3311,3321]</v>
      </c>
      <c r="AI127" s="17" t="str">
        <f t="shared" si="247"/>
        <v>4,</v>
      </c>
      <c r="AJ127" s="17" t="str">
        <f t="shared" si="248"/>
        <v>4,</v>
      </c>
      <c r="AK127" s="17" t="str">
        <f t="shared" si="249"/>
        <v>3,</v>
      </c>
      <c r="AL127" s="47" t="str">
        <f t="shared" si="276"/>
        <v>4,4,3,</v>
      </c>
      <c r="AM127" s="47" t="str">
        <f t="shared" si="277"/>
        <v>[4,4,3]</v>
      </c>
      <c r="AN127" s="47" t="str">
        <f>VLOOKUP(T127,物品id!$A:$B,2,FALSE)&amp;","</f>
        <v>102,</v>
      </c>
      <c r="AO127" s="17" t="str">
        <f t="shared" si="193"/>
        <v>[102]</v>
      </c>
      <c r="AP127" s="47" t="str">
        <f t="shared" si="184"/>
        <v>480,</v>
      </c>
      <c r="AQ127" s="17" t="str">
        <f t="shared" si="194"/>
        <v>[480]</v>
      </c>
      <c r="AR127" s="47" t="str">
        <f>IF(V127="","",VLOOKUP(V127,物品id!$A:$B,2,FALSE)&amp;",")</f>
        <v>20037,</v>
      </c>
      <c r="AS127" s="47" t="str">
        <f>IF(W127="","",VLOOKUP(W127,物品id!$A:$B,2,FALSE)&amp;",")</f>
        <v>102,</v>
      </c>
      <c r="AT127" s="47" t="str">
        <f t="shared" si="278"/>
        <v>20037,102,</v>
      </c>
      <c r="AU127" s="47" t="str">
        <f t="shared" si="279"/>
        <v>[20037,102]</v>
      </c>
      <c r="AV127" s="47" t="str">
        <f t="shared" si="185"/>
        <v>3,</v>
      </c>
      <c r="AW127" s="47" t="str">
        <f t="shared" si="186"/>
        <v>2880,</v>
      </c>
      <c r="AX127" s="47" t="str">
        <f t="shared" si="280"/>
        <v>3,2880,</v>
      </c>
      <c r="AY127" s="47" t="str">
        <f t="shared" si="281"/>
        <v>[3,2880]</v>
      </c>
    </row>
    <row r="128" spans="1:51" s="47" customFormat="1" x14ac:dyDescent="0.2">
      <c r="A128" s="47">
        <v>4</v>
      </c>
      <c r="B128" s="47" t="s">
        <v>1032</v>
      </c>
      <c r="C128" s="47">
        <v>45</v>
      </c>
      <c r="D128" s="34" t="s">
        <v>1150</v>
      </c>
      <c r="E128" s="47" t="s">
        <v>1031</v>
      </c>
      <c r="F128" s="47">
        <v>3</v>
      </c>
      <c r="G128" s="47" t="s">
        <v>804</v>
      </c>
      <c r="H128" s="47" t="s">
        <v>806</v>
      </c>
      <c r="I128" s="47" t="s">
        <v>807</v>
      </c>
      <c r="J128" s="17">
        <v>1</v>
      </c>
      <c r="K128" s="17">
        <v>0.8</v>
      </c>
      <c r="L128" s="17">
        <v>0</v>
      </c>
      <c r="M128" s="35">
        <f>(IF(G128="",挂机玩法规划!$L$2,VLOOKUP(G128,物品id!A:D,4,FALSE)*IF(J128=0,1,4))*IF(J128=0,1,J128)+IF(H128="",挂机玩法规划!$L$2,VLOOKUP(H128,物品id!A:D,4,FALSE)*IF(K128=0,1,4))*IF(K128=0,1,K128)+IF(I128="",挂机玩法规划!$L$2,VLOOKUP(I128,物品id!A:D,4,FALSE)*IF(L128=0,1,4))*IF(L128=0,1,L128))/O128</f>
        <v>0.64375000000000004</v>
      </c>
      <c r="N128" s="44">
        <f>IF(G128="",挂机玩法规划!$L$2,VLOOKUP(G128,物品id!A:D,4,FALSE)*4)+IF(H128="",挂机玩法规划!$L$2,VLOOKUP(H128,物品id!A:D,4,FALSE)*4)+IF(I128="",挂机玩法规划!$L$2,VLOOKUP(I128,物品id!A:D,4,FALSE)*4)</f>
        <v>320</v>
      </c>
      <c r="O128" s="48">
        <v>320</v>
      </c>
      <c r="P128" s="47">
        <v>4</v>
      </c>
      <c r="Q128" s="47">
        <v>4</v>
      </c>
      <c r="R128" s="47">
        <v>3</v>
      </c>
      <c r="S128" s="47">
        <v>720</v>
      </c>
      <c r="T128" s="47" t="s">
        <v>835</v>
      </c>
      <c r="U128" s="47">
        <v>720</v>
      </c>
      <c r="V128" s="47" t="s">
        <v>841</v>
      </c>
      <c r="W128" s="47" t="s">
        <v>200</v>
      </c>
      <c r="X128" s="47">
        <v>4</v>
      </c>
      <c r="Y128" s="47">
        <f>U128*挂机玩法规划!$O$4*VLOOKUP(E128,挂机玩法规划!$G$2:$I$17,3,FALSE)</f>
        <v>4320</v>
      </c>
      <c r="Z128" s="17">
        <f t="shared" si="187"/>
        <v>2.5750000000000002</v>
      </c>
      <c r="AA128" s="17">
        <f t="shared" si="188"/>
        <v>2781</v>
      </c>
      <c r="AB128" s="17">
        <f>(VLOOKUP(V128,物品id!A:E,5,FALSE)*挂机玩法填表!Z128+VLOOKUP(挂机玩法填表!W128,物品id!A:E,5,FALSE)*挂机玩法填表!AA128)/(U128/60)</f>
        <v>26.556833333333334</v>
      </c>
      <c r="AD128" s="17" t="str">
        <f>IF(G128="","",VLOOKUP(G128,物品id!$A:$B,2,FALSE)&amp;",")</f>
        <v>1211,</v>
      </c>
      <c r="AE128" s="17" t="str">
        <f>IF(H128="","",VLOOKUP(H128,物品id!$A:$B,2,FALSE)&amp;",")</f>
        <v>1311,</v>
      </c>
      <c r="AF128" s="17" t="str">
        <f>IF(I128="","",VLOOKUP(I128,物品id!$A:$B,2,FALSE)&amp;",")</f>
        <v>1321,</v>
      </c>
      <c r="AG128" s="47" t="str">
        <f t="shared" si="42"/>
        <v>1211,1311,1321,</v>
      </c>
      <c r="AH128" s="47" t="str">
        <f t="shared" si="43"/>
        <v>[1211,1311,1321]</v>
      </c>
      <c r="AI128" s="17" t="str">
        <f t="shared" si="247"/>
        <v>4,</v>
      </c>
      <c r="AJ128" s="17" t="str">
        <f t="shared" si="248"/>
        <v>4,</v>
      </c>
      <c r="AK128" s="17" t="str">
        <f t="shared" si="249"/>
        <v>3,</v>
      </c>
      <c r="AL128" s="47" t="str">
        <f t="shared" si="44"/>
        <v>4,4,3,</v>
      </c>
      <c r="AM128" s="47" t="str">
        <f t="shared" si="45"/>
        <v>[4,4,3]</v>
      </c>
      <c r="AN128" s="47" t="str">
        <f>VLOOKUP(T128,物品id!$A:$B,2,FALSE)&amp;","</f>
        <v>102,</v>
      </c>
      <c r="AO128" s="17" t="str">
        <f t="shared" si="193"/>
        <v>[102]</v>
      </c>
      <c r="AP128" s="47" t="str">
        <f t="shared" si="184"/>
        <v>720,</v>
      </c>
      <c r="AQ128" s="17" t="str">
        <f t="shared" si="194"/>
        <v>[720]</v>
      </c>
      <c r="AR128" s="47" t="str">
        <f>IF(V128="","",VLOOKUP(V128,物品id!$A:$B,2,FALSE)&amp;",")</f>
        <v>20037,</v>
      </c>
      <c r="AS128" s="47" t="str">
        <f>IF(W128="","",VLOOKUP(W128,物品id!$A:$B,2,FALSE)&amp;",")</f>
        <v>102,</v>
      </c>
      <c r="AT128" s="47" t="str">
        <f t="shared" si="46"/>
        <v>20037,102,</v>
      </c>
      <c r="AU128" s="47" t="str">
        <f t="shared" si="47"/>
        <v>[20037,102]</v>
      </c>
      <c r="AV128" s="47" t="str">
        <f t="shared" si="185"/>
        <v>4,</v>
      </c>
      <c r="AW128" s="47" t="str">
        <f t="shared" si="186"/>
        <v>4320,</v>
      </c>
      <c r="AX128" s="47" t="str">
        <f t="shared" si="48"/>
        <v>4,4320,</v>
      </c>
      <c r="AY128" s="47" t="str">
        <f t="shared" si="49"/>
        <v>[4,4320]</v>
      </c>
    </row>
    <row r="129" spans="1:51" s="47" customFormat="1" x14ac:dyDescent="0.2">
      <c r="A129" s="47">
        <v>4</v>
      </c>
      <c r="B129" s="47" t="s">
        <v>1032</v>
      </c>
      <c r="C129" s="47">
        <v>45</v>
      </c>
      <c r="D129" s="34" t="s">
        <v>1150</v>
      </c>
      <c r="E129" s="47" t="s">
        <v>1017</v>
      </c>
      <c r="F129" s="47">
        <v>3</v>
      </c>
      <c r="G129" s="47" t="s">
        <v>815</v>
      </c>
      <c r="H129" s="47" t="s">
        <v>817</v>
      </c>
      <c r="I129" s="47" t="s">
        <v>818</v>
      </c>
      <c r="J129" s="17">
        <v>1</v>
      </c>
      <c r="K129" s="17">
        <v>0.8</v>
      </c>
      <c r="L129" s="17">
        <v>0</v>
      </c>
      <c r="M129" s="35">
        <f>(IF(G129="",挂机玩法规划!$L$2,VLOOKUP(G129,物品id!A:D,4,FALSE)*IF(J129=0,1,4))*IF(J129=0,1,J129)+IF(H129="",挂机玩法规划!$L$2,VLOOKUP(H129,物品id!A:D,4,FALSE)*IF(K129=0,1,4))*IF(K129=0,1,K129)+IF(I129="",挂机玩法规划!$L$2,VLOOKUP(I129,物品id!A:D,4,FALSE)*IF(L129=0,1,4))*IF(L129=0,1,L129))/O129</f>
        <v>0.64375000000000004</v>
      </c>
      <c r="N129" s="44">
        <f>IF(G129="",挂机玩法规划!$L$2,VLOOKUP(G129,物品id!A:D,4,FALSE)*4)+IF(H129="",挂机玩法规划!$L$2,VLOOKUP(H129,物品id!A:D,4,FALSE)*4)+IF(I129="",挂机玩法规划!$L$2,VLOOKUP(I129,物品id!A:D,4,FALSE)*4)</f>
        <v>320</v>
      </c>
      <c r="O129" s="48">
        <v>320</v>
      </c>
      <c r="P129" s="47">
        <v>4</v>
      </c>
      <c r="Q129" s="47">
        <v>4</v>
      </c>
      <c r="R129" s="47">
        <v>3</v>
      </c>
      <c r="S129" s="47">
        <v>720</v>
      </c>
      <c r="T129" s="47" t="s">
        <v>835</v>
      </c>
      <c r="U129" s="47">
        <v>720</v>
      </c>
      <c r="V129" s="47" t="s">
        <v>841</v>
      </c>
      <c r="W129" s="47" t="s">
        <v>200</v>
      </c>
      <c r="X129" s="47">
        <v>4</v>
      </c>
      <c r="Y129" s="47">
        <f>U129*挂机玩法规划!$O$4*VLOOKUP(E129,挂机玩法规划!$G$2:$I$17,3,FALSE)</f>
        <v>4320</v>
      </c>
      <c r="Z129" s="17">
        <f t="shared" si="187"/>
        <v>2.5750000000000002</v>
      </c>
      <c r="AA129" s="17">
        <f t="shared" si="188"/>
        <v>2781</v>
      </c>
      <c r="AB129" s="17">
        <f>(VLOOKUP(V129,物品id!A:E,5,FALSE)*挂机玩法填表!Z129+VLOOKUP(挂机玩法填表!W129,物品id!A:E,5,FALSE)*挂机玩法填表!AA129)/(U129/60)</f>
        <v>26.556833333333334</v>
      </c>
      <c r="AD129" s="17" t="str">
        <f>IF(G129="","",VLOOKUP(G129,物品id!$A:$B,2,FALSE)&amp;",")</f>
        <v>2211,</v>
      </c>
      <c r="AE129" s="17" t="str">
        <f>IF(H129="","",VLOOKUP(H129,物品id!$A:$B,2,FALSE)&amp;",")</f>
        <v>2311,</v>
      </c>
      <c r="AF129" s="17" t="str">
        <f>IF(I129="","",VLOOKUP(I129,物品id!$A:$B,2,FALSE)&amp;",")</f>
        <v>2321,</v>
      </c>
      <c r="AG129" s="47" t="str">
        <f t="shared" ref="AG129:AG130" si="282">AD129&amp;AE129&amp;AF129</f>
        <v>2211,2311,2321,</v>
      </c>
      <c r="AH129" s="47" t="str">
        <f t="shared" ref="AH129:AH130" si="283">"["&amp;LEFT(AG129,LEN(AG129)-1)&amp;"]"</f>
        <v>[2211,2311,2321]</v>
      </c>
      <c r="AI129" s="17" t="str">
        <f t="shared" si="247"/>
        <v>4,</v>
      </c>
      <c r="AJ129" s="17" t="str">
        <f t="shared" si="248"/>
        <v>4,</v>
      </c>
      <c r="AK129" s="17" t="str">
        <f t="shared" si="249"/>
        <v>3,</v>
      </c>
      <c r="AL129" s="47" t="str">
        <f t="shared" ref="AL129:AL130" si="284">AI129&amp;AJ129&amp;AK129</f>
        <v>4,4,3,</v>
      </c>
      <c r="AM129" s="47" t="str">
        <f t="shared" ref="AM129:AM130" si="285">"["&amp;LEFT(AL129,LEN(AL129)-1)&amp;"]"</f>
        <v>[4,4,3]</v>
      </c>
      <c r="AN129" s="47" t="str">
        <f>VLOOKUP(T129,物品id!$A:$B,2,FALSE)&amp;","</f>
        <v>102,</v>
      </c>
      <c r="AO129" s="17" t="str">
        <f t="shared" si="193"/>
        <v>[102]</v>
      </c>
      <c r="AP129" s="47" t="str">
        <f t="shared" si="184"/>
        <v>720,</v>
      </c>
      <c r="AQ129" s="17" t="str">
        <f t="shared" si="194"/>
        <v>[720]</v>
      </c>
      <c r="AR129" s="47" t="str">
        <f>IF(V129="","",VLOOKUP(V129,物品id!$A:$B,2,FALSE)&amp;",")</f>
        <v>20037,</v>
      </c>
      <c r="AS129" s="47" t="str">
        <f>IF(W129="","",VLOOKUP(W129,物品id!$A:$B,2,FALSE)&amp;",")</f>
        <v>102,</v>
      </c>
      <c r="AT129" s="47" t="str">
        <f t="shared" ref="AT129:AT130" si="286">AR129&amp;AS129</f>
        <v>20037,102,</v>
      </c>
      <c r="AU129" s="47" t="str">
        <f t="shared" ref="AU129:AU130" si="287">"["&amp;LEFT(AT129,LEN(AT129)-1)&amp;"]"</f>
        <v>[20037,102]</v>
      </c>
      <c r="AV129" s="47" t="str">
        <f t="shared" si="185"/>
        <v>4,</v>
      </c>
      <c r="AW129" s="47" t="str">
        <f t="shared" si="186"/>
        <v>4320,</v>
      </c>
      <c r="AX129" s="47" t="str">
        <f t="shared" ref="AX129:AX130" si="288">AV129&amp;AW129</f>
        <v>4,4320,</v>
      </c>
      <c r="AY129" s="47" t="str">
        <f t="shared" ref="AY129:AY130" si="289">"["&amp;LEFT(AX129,LEN(AX129)-1)&amp;"]"</f>
        <v>[4,4320]</v>
      </c>
    </row>
    <row r="130" spans="1:51" s="47" customFormat="1" x14ac:dyDescent="0.2">
      <c r="A130" s="47">
        <v>4</v>
      </c>
      <c r="B130" s="47" t="s">
        <v>1032</v>
      </c>
      <c r="C130" s="47">
        <v>45</v>
      </c>
      <c r="D130" s="34" t="s">
        <v>1150</v>
      </c>
      <c r="E130" s="47" t="s">
        <v>1017</v>
      </c>
      <c r="F130" s="47">
        <v>3</v>
      </c>
      <c r="G130" s="47" t="s">
        <v>825</v>
      </c>
      <c r="H130" s="47" t="s">
        <v>827</v>
      </c>
      <c r="I130" s="47" t="s">
        <v>828</v>
      </c>
      <c r="J130" s="17">
        <v>1</v>
      </c>
      <c r="K130" s="17">
        <v>0.8</v>
      </c>
      <c r="L130" s="17">
        <v>0</v>
      </c>
      <c r="M130" s="35">
        <f>(IF(G130="",挂机玩法规划!$L$2,VLOOKUP(G130,物品id!A:D,4,FALSE)*IF(J130=0,1,4))*IF(J130=0,1,J130)+IF(H130="",挂机玩法规划!$L$2,VLOOKUP(H130,物品id!A:D,4,FALSE)*IF(K130=0,1,4))*IF(K130=0,1,K130)+IF(I130="",挂机玩法规划!$L$2,VLOOKUP(I130,物品id!A:D,4,FALSE)*IF(L130=0,1,4))*IF(L130=0,1,L130))/O130</f>
        <v>0.64375000000000004</v>
      </c>
      <c r="N130" s="44">
        <f>IF(G130="",挂机玩法规划!$L$2,VLOOKUP(G130,物品id!A:D,4,FALSE)*4)+IF(H130="",挂机玩法规划!$L$2,VLOOKUP(H130,物品id!A:D,4,FALSE)*4)+IF(I130="",挂机玩法规划!$L$2,VLOOKUP(I130,物品id!A:D,4,FALSE)*4)</f>
        <v>320</v>
      </c>
      <c r="O130" s="48">
        <v>320</v>
      </c>
      <c r="P130" s="47">
        <v>4</v>
      </c>
      <c r="Q130" s="47">
        <v>4</v>
      </c>
      <c r="R130" s="47">
        <v>3</v>
      </c>
      <c r="S130" s="47">
        <v>720</v>
      </c>
      <c r="T130" s="47" t="s">
        <v>835</v>
      </c>
      <c r="U130" s="47">
        <v>720</v>
      </c>
      <c r="V130" s="47" t="s">
        <v>841</v>
      </c>
      <c r="W130" s="47" t="s">
        <v>200</v>
      </c>
      <c r="X130" s="47">
        <v>4</v>
      </c>
      <c r="Y130" s="47">
        <f>U130*挂机玩法规划!$O$4*VLOOKUP(E130,挂机玩法规划!$G$2:$I$17,3,FALSE)</f>
        <v>4320</v>
      </c>
      <c r="Z130" s="17">
        <f t="shared" si="187"/>
        <v>2.5750000000000002</v>
      </c>
      <c r="AA130" s="17">
        <f t="shared" si="188"/>
        <v>2781</v>
      </c>
      <c r="AB130" s="17">
        <f>(VLOOKUP(V130,物品id!A:E,5,FALSE)*挂机玩法填表!Z130+VLOOKUP(挂机玩法填表!W130,物品id!A:E,5,FALSE)*挂机玩法填表!AA130)/(U130/60)</f>
        <v>26.556833333333334</v>
      </c>
      <c r="AD130" s="17" t="str">
        <f>IF(G130="","",VLOOKUP(G130,物品id!$A:$B,2,FALSE)&amp;",")</f>
        <v>3211,</v>
      </c>
      <c r="AE130" s="17" t="str">
        <f>IF(H130="","",VLOOKUP(H130,物品id!$A:$B,2,FALSE)&amp;",")</f>
        <v>3311,</v>
      </c>
      <c r="AF130" s="17" t="str">
        <f>IF(I130="","",VLOOKUP(I130,物品id!$A:$B,2,FALSE)&amp;",")</f>
        <v>3321,</v>
      </c>
      <c r="AG130" s="47" t="str">
        <f t="shared" si="282"/>
        <v>3211,3311,3321,</v>
      </c>
      <c r="AH130" s="47" t="str">
        <f t="shared" si="283"/>
        <v>[3211,3311,3321]</v>
      </c>
      <c r="AI130" s="17" t="str">
        <f t="shared" ref="AI130:AI161" si="290">IF(P130="","",P130&amp;",")</f>
        <v>4,</v>
      </c>
      <c r="AJ130" s="17" t="str">
        <f t="shared" ref="AJ130:AJ161" si="291">IF(Q130="","",Q130&amp;",")</f>
        <v>4,</v>
      </c>
      <c r="AK130" s="17" t="str">
        <f t="shared" ref="AK130:AK161" si="292">IF(R130="","",R130&amp;",")</f>
        <v>3,</v>
      </c>
      <c r="AL130" s="47" t="str">
        <f t="shared" si="284"/>
        <v>4,4,3,</v>
      </c>
      <c r="AM130" s="47" t="str">
        <f t="shared" si="285"/>
        <v>[4,4,3]</v>
      </c>
      <c r="AN130" s="47" t="str">
        <f>VLOOKUP(T130,物品id!$A:$B,2,FALSE)&amp;","</f>
        <v>102,</v>
      </c>
      <c r="AO130" s="17" t="str">
        <f t="shared" si="193"/>
        <v>[102]</v>
      </c>
      <c r="AP130" s="47" t="str">
        <f t="shared" ref="AP130:AP193" si="293">U130&amp;","</f>
        <v>720,</v>
      </c>
      <c r="AQ130" s="17" t="str">
        <f t="shared" si="194"/>
        <v>[720]</v>
      </c>
      <c r="AR130" s="47" t="str">
        <f>IF(V130="","",VLOOKUP(V130,物品id!$A:$B,2,FALSE)&amp;",")</f>
        <v>20037,</v>
      </c>
      <c r="AS130" s="47" t="str">
        <f>IF(W130="","",VLOOKUP(W130,物品id!$A:$B,2,FALSE)&amp;",")</f>
        <v>102,</v>
      </c>
      <c r="AT130" s="47" t="str">
        <f t="shared" si="286"/>
        <v>20037,102,</v>
      </c>
      <c r="AU130" s="47" t="str">
        <f t="shared" si="287"/>
        <v>[20037,102]</v>
      </c>
      <c r="AV130" s="47" t="str">
        <f t="shared" ref="AV130:AV193" si="294">IF(X130="","",X130&amp;",")</f>
        <v>4,</v>
      </c>
      <c r="AW130" s="47" t="str">
        <f t="shared" ref="AW130:AW193" si="295">IF(Y130="","",Y130&amp;",")</f>
        <v>4320,</v>
      </c>
      <c r="AX130" s="47" t="str">
        <f t="shared" si="288"/>
        <v>4,4320,</v>
      </c>
      <c r="AY130" s="47" t="str">
        <f t="shared" si="289"/>
        <v>[4,4320]</v>
      </c>
    </row>
    <row r="131" spans="1:51" s="47" customFormat="1" x14ac:dyDescent="0.2">
      <c r="A131" s="47">
        <v>5</v>
      </c>
      <c r="B131" s="47" t="s">
        <v>1032</v>
      </c>
      <c r="C131" s="47">
        <v>46</v>
      </c>
      <c r="D131" s="34" t="s">
        <v>1151</v>
      </c>
      <c r="E131" s="47" t="s">
        <v>1031</v>
      </c>
      <c r="F131" s="47">
        <v>3</v>
      </c>
      <c r="G131" s="47" t="s">
        <v>806</v>
      </c>
      <c r="H131" s="47" t="s">
        <v>807</v>
      </c>
      <c r="I131" s="47" t="s">
        <v>808</v>
      </c>
      <c r="J131" s="17">
        <v>0.8</v>
      </c>
      <c r="K131" s="17">
        <v>0</v>
      </c>
      <c r="L131" s="17">
        <v>0</v>
      </c>
      <c r="M131" s="35">
        <f>(IF(G131="",挂机玩法规划!$L$2,VLOOKUP(G131,物品id!A:D,4,FALSE)*IF(J131=0,1,4))*IF(J131=0,1,J131)+IF(H131="",挂机玩法规划!$L$2,VLOOKUP(H131,物品id!A:D,4,FALSE)*IF(K131=0,1,4))*IF(K131=0,1,K131)+IF(I131="",挂机玩法规划!$L$2,VLOOKUP(I131,物品id!A:D,4,FALSE)*IF(L131=0,1,4))*IF(L131=0,1,L131))/O131</f>
        <v>0.43333333333333335</v>
      </c>
      <c r="N131" s="44">
        <f>IF(G131="",挂机玩法规划!$L$2,VLOOKUP(G131,物品id!A:D,4,FALSE)*4)+IF(H131="",挂机玩法规划!$L$2,VLOOKUP(H131,物品id!A:D,4,FALSE)*4)+IF(I131="",挂机玩法规划!$L$2,VLOOKUP(I131,物品id!A:D,4,FALSE)*4)</f>
        <v>360</v>
      </c>
      <c r="O131" s="48">
        <v>360</v>
      </c>
      <c r="P131" s="47">
        <v>4</v>
      </c>
      <c r="Q131" s="47">
        <v>3</v>
      </c>
      <c r="R131" s="47">
        <v>3</v>
      </c>
      <c r="S131" s="47">
        <v>120</v>
      </c>
      <c r="T131" s="47" t="s">
        <v>835</v>
      </c>
      <c r="U131" s="47">
        <v>120</v>
      </c>
      <c r="V131" s="47" t="s">
        <v>837</v>
      </c>
      <c r="W131" s="47" t="s">
        <v>200</v>
      </c>
      <c r="X131" s="47">
        <v>1</v>
      </c>
      <c r="Y131" s="47">
        <f>U131*挂机玩法规划!$O$4*VLOOKUP(E131,挂机玩法规划!$G$2:$I$17,3,FALSE)</f>
        <v>720</v>
      </c>
      <c r="Z131" s="17">
        <f t="shared" ref="Z131:Z194" si="296">X131*M131</f>
        <v>0.43333333333333335</v>
      </c>
      <c r="AA131" s="17">
        <f t="shared" ref="AA131:AA194" si="297">Y131*M131</f>
        <v>312</v>
      </c>
      <c r="AB131" s="17">
        <f>(VLOOKUP(V131,物品id!A:E,5,FALSE)*挂机玩法填表!Z131+VLOOKUP(挂机玩法填表!W131,物品id!A:E,5,FALSE)*挂机玩法填表!AA131)/(U131/60)</f>
        <v>29.431999999999999</v>
      </c>
      <c r="AD131" s="17" t="str">
        <f>IF(G131="","",VLOOKUP(G131,物品id!$A:$B,2,FALSE)&amp;",")</f>
        <v>1311,</v>
      </c>
      <c r="AE131" s="17" t="str">
        <f>IF(H131="","",VLOOKUP(H131,物品id!$A:$B,2,FALSE)&amp;",")</f>
        <v>1321,</v>
      </c>
      <c r="AF131" s="17" t="str">
        <f>IF(I131="","",VLOOKUP(I131,物品id!$A:$B,2,FALSE)&amp;",")</f>
        <v>1331,</v>
      </c>
      <c r="AG131" s="47" t="str">
        <f t="shared" si="42"/>
        <v>1311,1321,1331,</v>
      </c>
      <c r="AH131" s="47" t="str">
        <f t="shared" si="43"/>
        <v>[1311,1321,1331]</v>
      </c>
      <c r="AI131" s="17" t="str">
        <f t="shared" si="290"/>
        <v>4,</v>
      </c>
      <c r="AJ131" s="17" t="str">
        <f t="shared" si="291"/>
        <v>3,</v>
      </c>
      <c r="AK131" s="17" t="str">
        <f t="shared" si="292"/>
        <v>3,</v>
      </c>
      <c r="AL131" s="47" t="str">
        <f t="shared" si="44"/>
        <v>4,3,3,</v>
      </c>
      <c r="AM131" s="47" t="str">
        <f t="shared" si="45"/>
        <v>[4,3,3]</v>
      </c>
      <c r="AN131" s="47" t="str">
        <f>VLOOKUP(T131,物品id!$A:$B,2,FALSE)&amp;","</f>
        <v>102,</v>
      </c>
      <c r="AO131" s="17" t="str">
        <f t="shared" ref="AO131:AO194" si="298">"["&amp;LEFT(AN131,LEN(AN131)-1)&amp;"]"</f>
        <v>[102]</v>
      </c>
      <c r="AP131" s="47" t="str">
        <f t="shared" si="293"/>
        <v>120,</v>
      </c>
      <c r="AQ131" s="17" t="str">
        <f t="shared" ref="AQ131:AQ194" si="299">"["&amp;LEFT(AP131,LEN(AP131)-1)&amp;"]"</f>
        <v>[120]</v>
      </c>
      <c r="AR131" s="47" t="str">
        <f>IF(V131="","",VLOOKUP(V131,物品id!$A:$B,2,FALSE)&amp;",")</f>
        <v>20033,</v>
      </c>
      <c r="AS131" s="47" t="str">
        <f>IF(W131="","",VLOOKUP(W131,物品id!$A:$B,2,FALSE)&amp;",")</f>
        <v>102,</v>
      </c>
      <c r="AT131" s="47" t="str">
        <f t="shared" si="46"/>
        <v>20033,102,</v>
      </c>
      <c r="AU131" s="47" t="str">
        <f t="shared" si="47"/>
        <v>[20033,102]</v>
      </c>
      <c r="AV131" s="47" t="str">
        <f t="shared" si="294"/>
        <v>1,</v>
      </c>
      <c r="AW131" s="47" t="str">
        <f t="shared" si="295"/>
        <v>720,</v>
      </c>
      <c r="AX131" s="47" t="str">
        <f t="shared" si="48"/>
        <v>1,720,</v>
      </c>
      <c r="AY131" s="47" t="str">
        <f t="shared" si="49"/>
        <v>[1,720]</v>
      </c>
    </row>
    <row r="132" spans="1:51" s="47" customFormat="1" x14ac:dyDescent="0.2">
      <c r="A132" s="47">
        <v>5</v>
      </c>
      <c r="B132" s="47" t="s">
        <v>1032</v>
      </c>
      <c r="C132" s="47">
        <v>46</v>
      </c>
      <c r="D132" s="34" t="s">
        <v>1151</v>
      </c>
      <c r="E132" s="47" t="s">
        <v>1017</v>
      </c>
      <c r="F132" s="47">
        <v>3</v>
      </c>
      <c r="G132" s="47" t="s">
        <v>817</v>
      </c>
      <c r="H132" s="47" t="s">
        <v>818</v>
      </c>
      <c r="I132" s="47" t="s">
        <v>819</v>
      </c>
      <c r="J132" s="17">
        <v>0.8</v>
      </c>
      <c r="K132" s="17">
        <v>0</v>
      </c>
      <c r="L132" s="17">
        <v>0</v>
      </c>
      <c r="M132" s="35">
        <f>(IF(G132="",挂机玩法规划!$L$2,VLOOKUP(G132,物品id!A:D,4,FALSE)*IF(J132=0,1,4))*IF(J132=0,1,J132)+IF(H132="",挂机玩法规划!$L$2,VLOOKUP(H132,物品id!A:D,4,FALSE)*IF(K132=0,1,4))*IF(K132=0,1,K132)+IF(I132="",挂机玩法规划!$L$2,VLOOKUP(I132,物品id!A:D,4,FALSE)*IF(L132=0,1,4))*IF(L132=0,1,L132))/O132</f>
        <v>0.43333333333333335</v>
      </c>
      <c r="N132" s="44">
        <f>IF(G132="",挂机玩法规划!$L$2,VLOOKUP(G132,物品id!A:D,4,FALSE)*4)+IF(H132="",挂机玩法规划!$L$2,VLOOKUP(H132,物品id!A:D,4,FALSE)*4)+IF(I132="",挂机玩法规划!$L$2,VLOOKUP(I132,物品id!A:D,4,FALSE)*4)</f>
        <v>360</v>
      </c>
      <c r="O132" s="48">
        <v>360</v>
      </c>
      <c r="P132" s="47">
        <v>4</v>
      </c>
      <c r="Q132" s="47">
        <v>3</v>
      </c>
      <c r="R132" s="47">
        <v>3</v>
      </c>
      <c r="S132" s="47">
        <v>120</v>
      </c>
      <c r="T132" s="47" t="s">
        <v>835</v>
      </c>
      <c r="U132" s="47">
        <v>120</v>
      </c>
      <c r="V132" s="47" t="s">
        <v>837</v>
      </c>
      <c r="W132" s="47" t="s">
        <v>200</v>
      </c>
      <c r="X132" s="47">
        <v>1</v>
      </c>
      <c r="Y132" s="47">
        <f>U132*挂机玩法规划!$O$4*VLOOKUP(E132,挂机玩法规划!$G$2:$I$17,3,FALSE)</f>
        <v>720</v>
      </c>
      <c r="Z132" s="17">
        <f t="shared" si="296"/>
        <v>0.43333333333333335</v>
      </c>
      <c r="AA132" s="17">
        <f t="shared" si="297"/>
        <v>312</v>
      </c>
      <c r="AB132" s="17">
        <f>(VLOOKUP(V132,物品id!A:E,5,FALSE)*挂机玩法填表!Z132+VLOOKUP(挂机玩法填表!W132,物品id!A:E,5,FALSE)*挂机玩法填表!AA132)/(U132/60)</f>
        <v>29.431999999999999</v>
      </c>
      <c r="AD132" s="17" t="str">
        <f>IF(G132="","",VLOOKUP(G132,物品id!$A:$B,2,FALSE)&amp;",")</f>
        <v>2311,</v>
      </c>
      <c r="AE132" s="17" t="str">
        <f>IF(H132="","",VLOOKUP(H132,物品id!$A:$B,2,FALSE)&amp;",")</f>
        <v>2321,</v>
      </c>
      <c r="AF132" s="17" t="str">
        <f>IF(I132="","",VLOOKUP(I132,物品id!$A:$B,2,FALSE)&amp;",")</f>
        <v>2331,</v>
      </c>
      <c r="AG132" s="47" t="str">
        <f t="shared" ref="AG132:AG133" si="300">AD132&amp;AE132&amp;AF132</f>
        <v>2311,2321,2331,</v>
      </c>
      <c r="AH132" s="47" t="str">
        <f t="shared" ref="AH132:AH133" si="301">"["&amp;LEFT(AG132,LEN(AG132)-1)&amp;"]"</f>
        <v>[2311,2321,2331]</v>
      </c>
      <c r="AI132" s="17" t="str">
        <f t="shared" si="290"/>
        <v>4,</v>
      </c>
      <c r="AJ132" s="17" t="str">
        <f t="shared" si="291"/>
        <v>3,</v>
      </c>
      <c r="AK132" s="17" t="str">
        <f t="shared" si="292"/>
        <v>3,</v>
      </c>
      <c r="AL132" s="47" t="str">
        <f t="shared" ref="AL132:AL133" si="302">AI132&amp;AJ132&amp;AK132</f>
        <v>4,3,3,</v>
      </c>
      <c r="AM132" s="47" t="str">
        <f t="shared" ref="AM132:AM133" si="303">"["&amp;LEFT(AL132,LEN(AL132)-1)&amp;"]"</f>
        <v>[4,3,3]</v>
      </c>
      <c r="AN132" s="47" t="str">
        <f>VLOOKUP(T132,物品id!$A:$B,2,FALSE)&amp;","</f>
        <v>102,</v>
      </c>
      <c r="AO132" s="17" t="str">
        <f t="shared" si="298"/>
        <v>[102]</v>
      </c>
      <c r="AP132" s="47" t="str">
        <f t="shared" si="293"/>
        <v>120,</v>
      </c>
      <c r="AQ132" s="17" t="str">
        <f t="shared" si="299"/>
        <v>[120]</v>
      </c>
      <c r="AR132" s="47" t="str">
        <f>IF(V132="","",VLOOKUP(V132,物品id!$A:$B,2,FALSE)&amp;",")</f>
        <v>20033,</v>
      </c>
      <c r="AS132" s="47" t="str">
        <f>IF(W132="","",VLOOKUP(W132,物品id!$A:$B,2,FALSE)&amp;",")</f>
        <v>102,</v>
      </c>
      <c r="AT132" s="47" t="str">
        <f t="shared" ref="AT132:AT133" si="304">AR132&amp;AS132</f>
        <v>20033,102,</v>
      </c>
      <c r="AU132" s="47" t="str">
        <f t="shared" ref="AU132:AU133" si="305">"["&amp;LEFT(AT132,LEN(AT132)-1)&amp;"]"</f>
        <v>[20033,102]</v>
      </c>
      <c r="AV132" s="47" t="str">
        <f t="shared" si="294"/>
        <v>1,</v>
      </c>
      <c r="AW132" s="47" t="str">
        <f t="shared" si="295"/>
        <v>720,</v>
      </c>
      <c r="AX132" s="47" t="str">
        <f t="shared" ref="AX132:AX133" si="306">AV132&amp;AW132</f>
        <v>1,720,</v>
      </c>
      <c r="AY132" s="47" t="str">
        <f t="shared" ref="AY132:AY133" si="307">"["&amp;LEFT(AX132,LEN(AX132)-1)&amp;"]"</f>
        <v>[1,720]</v>
      </c>
    </row>
    <row r="133" spans="1:51" s="47" customFormat="1" x14ac:dyDescent="0.2">
      <c r="A133" s="47">
        <v>5</v>
      </c>
      <c r="B133" s="47" t="s">
        <v>1032</v>
      </c>
      <c r="C133" s="47">
        <v>46</v>
      </c>
      <c r="D133" s="34" t="s">
        <v>1151</v>
      </c>
      <c r="E133" s="47" t="s">
        <v>1017</v>
      </c>
      <c r="F133" s="47">
        <v>3</v>
      </c>
      <c r="G133" s="47" t="s">
        <v>827</v>
      </c>
      <c r="H133" s="47" t="s">
        <v>828</v>
      </c>
      <c r="I133" s="47" t="s">
        <v>829</v>
      </c>
      <c r="J133" s="17">
        <v>0.8</v>
      </c>
      <c r="K133" s="17">
        <v>0</v>
      </c>
      <c r="L133" s="17">
        <v>0</v>
      </c>
      <c r="M133" s="35">
        <f>(IF(G133="",挂机玩法规划!$L$2,VLOOKUP(G133,物品id!A:D,4,FALSE)*IF(J133=0,1,4))*IF(J133=0,1,J133)+IF(H133="",挂机玩法规划!$L$2,VLOOKUP(H133,物品id!A:D,4,FALSE)*IF(K133=0,1,4))*IF(K133=0,1,K133)+IF(I133="",挂机玩法规划!$L$2,VLOOKUP(I133,物品id!A:D,4,FALSE)*IF(L133=0,1,4))*IF(L133=0,1,L133))/O133</f>
        <v>0.43333333333333335</v>
      </c>
      <c r="N133" s="44">
        <f>IF(G133="",挂机玩法规划!$L$2,VLOOKUP(G133,物品id!A:D,4,FALSE)*4)+IF(H133="",挂机玩法规划!$L$2,VLOOKUP(H133,物品id!A:D,4,FALSE)*4)+IF(I133="",挂机玩法规划!$L$2,VLOOKUP(I133,物品id!A:D,4,FALSE)*4)</f>
        <v>360</v>
      </c>
      <c r="O133" s="48">
        <v>360</v>
      </c>
      <c r="P133" s="47">
        <v>4</v>
      </c>
      <c r="Q133" s="47">
        <v>3</v>
      </c>
      <c r="R133" s="47">
        <v>3</v>
      </c>
      <c r="S133" s="47">
        <v>120</v>
      </c>
      <c r="T133" s="47" t="s">
        <v>835</v>
      </c>
      <c r="U133" s="47">
        <v>120</v>
      </c>
      <c r="V133" s="47" t="s">
        <v>837</v>
      </c>
      <c r="W133" s="47" t="s">
        <v>200</v>
      </c>
      <c r="X133" s="47">
        <v>1</v>
      </c>
      <c r="Y133" s="47">
        <f>U133*挂机玩法规划!$O$4*VLOOKUP(E133,挂机玩法规划!$G$2:$I$17,3,FALSE)</f>
        <v>720</v>
      </c>
      <c r="Z133" s="17">
        <f t="shared" si="296"/>
        <v>0.43333333333333335</v>
      </c>
      <c r="AA133" s="17">
        <f t="shared" si="297"/>
        <v>312</v>
      </c>
      <c r="AB133" s="17">
        <f>(VLOOKUP(V133,物品id!A:E,5,FALSE)*挂机玩法填表!Z133+VLOOKUP(挂机玩法填表!W133,物品id!A:E,5,FALSE)*挂机玩法填表!AA133)/(U133/60)</f>
        <v>29.431999999999999</v>
      </c>
      <c r="AD133" s="17" t="str">
        <f>IF(G133="","",VLOOKUP(G133,物品id!$A:$B,2,FALSE)&amp;",")</f>
        <v>3311,</v>
      </c>
      <c r="AE133" s="17" t="str">
        <f>IF(H133="","",VLOOKUP(H133,物品id!$A:$B,2,FALSE)&amp;",")</f>
        <v>3321,</v>
      </c>
      <c r="AF133" s="17" t="str">
        <f>IF(I133="","",VLOOKUP(I133,物品id!$A:$B,2,FALSE)&amp;",")</f>
        <v>3331,</v>
      </c>
      <c r="AG133" s="47" t="str">
        <f t="shared" si="300"/>
        <v>3311,3321,3331,</v>
      </c>
      <c r="AH133" s="47" t="str">
        <f t="shared" si="301"/>
        <v>[3311,3321,3331]</v>
      </c>
      <c r="AI133" s="17" t="str">
        <f t="shared" si="290"/>
        <v>4,</v>
      </c>
      <c r="AJ133" s="17" t="str">
        <f t="shared" si="291"/>
        <v>3,</v>
      </c>
      <c r="AK133" s="17" t="str">
        <f t="shared" si="292"/>
        <v>3,</v>
      </c>
      <c r="AL133" s="47" t="str">
        <f t="shared" si="302"/>
        <v>4,3,3,</v>
      </c>
      <c r="AM133" s="47" t="str">
        <f t="shared" si="303"/>
        <v>[4,3,3]</v>
      </c>
      <c r="AN133" s="47" t="str">
        <f>VLOOKUP(T133,物品id!$A:$B,2,FALSE)&amp;","</f>
        <v>102,</v>
      </c>
      <c r="AO133" s="17" t="str">
        <f t="shared" si="298"/>
        <v>[102]</v>
      </c>
      <c r="AP133" s="47" t="str">
        <f t="shared" si="293"/>
        <v>120,</v>
      </c>
      <c r="AQ133" s="17" t="str">
        <f t="shared" si="299"/>
        <v>[120]</v>
      </c>
      <c r="AR133" s="47" t="str">
        <f>IF(V133="","",VLOOKUP(V133,物品id!$A:$B,2,FALSE)&amp;",")</f>
        <v>20033,</v>
      </c>
      <c r="AS133" s="47" t="str">
        <f>IF(W133="","",VLOOKUP(W133,物品id!$A:$B,2,FALSE)&amp;",")</f>
        <v>102,</v>
      </c>
      <c r="AT133" s="47" t="str">
        <f t="shared" si="304"/>
        <v>20033,102,</v>
      </c>
      <c r="AU133" s="47" t="str">
        <f t="shared" si="305"/>
        <v>[20033,102]</v>
      </c>
      <c r="AV133" s="47" t="str">
        <f t="shared" si="294"/>
        <v>1,</v>
      </c>
      <c r="AW133" s="47" t="str">
        <f t="shared" si="295"/>
        <v>720,</v>
      </c>
      <c r="AX133" s="47" t="str">
        <f t="shared" si="306"/>
        <v>1,720,</v>
      </c>
      <c r="AY133" s="47" t="str">
        <f t="shared" si="307"/>
        <v>[1,720]</v>
      </c>
    </row>
    <row r="134" spans="1:51" s="47" customFormat="1" x14ac:dyDescent="0.2">
      <c r="A134" s="47">
        <v>5</v>
      </c>
      <c r="B134" s="47" t="s">
        <v>1032</v>
      </c>
      <c r="C134" s="47">
        <v>46</v>
      </c>
      <c r="D134" s="34" t="s">
        <v>1151</v>
      </c>
      <c r="E134" s="47" t="s">
        <v>1031</v>
      </c>
      <c r="F134" s="47">
        <v>3</v>
      </c>
      <c r="G134" s="47" t="s">
        <v>806</v>
      </c>
      <c r="H134" s="47" t="s">
        <v>807</v>
      </c>
      <c r="I134" s="47" t="s">
        <v>808</v>
      </c>
      <c r="J134" s="17">
        <v>0.8</v>
      </c>
      <c r="K134" s="17">
        <v>0</v>
      </c>
      <c r="L134" s="17">
        <v>0</v>
      </c>
      <c r="M134" s="35">
        <f>(IF(G134="",挂机玩法规划!$L$2,VLOOKUP(G134,物品id!A:D,4,FALSE)*IF(J134=0,1,4))*IF(J134=0,1,J134)+IF(H134="",挂机玩法规划!$L$2,VLOOKUP(H134,物品id!A:D,4,FALSE)*IF(K134=0,1,4))*IF(K134=0,1,K134)+IF(I134="",挂机玩法规划!$L$2,VLOOKUP(I134,物品id!A:D,4,FALSE)*IF(L134=0,1,4))*IF(L134=0,1,L134))/O134</f>
        <v>0.43333333333333335</v>
      </c>
      <c r="N134" s="44">
        <f>IF(G134="",挂机玩法规划!$L$2,VLOOKUP(G134,物品id!A:D,4,FALSE)*4)+IF(H134="",挂机玩法规划!$L$2,VLOOKUP(H134,物品id!A:D,4,FALSE)*4)+IF(I134="",挂机玩法规划!$L$2,VLOOKUP(I134,物品id!A:D,4,FALSE)*4)</f>
        <v>360</v>
      </c>
      <c r="O134" s="48">
        <v>360</v>
      </c>
      <c r="P134" s="47">
        <v>4</v>
      </c>
      <c r="Q134" s="47">
        <v>3</v>
      </c>
      <c r="R134" s="47">
        <v>3</v>
      </c>
      <c r="S134" s="47">
        <v>240</v>
      </c>
      <c r="T134" s="47" t="s">
        <v>835</v>
      </c>
      <c r="U134" s="47">
        <v>240</v>
      </c>
      <c r="V134" s="47" t="s">
        <v>837</v>
      </c>
      <c r="W134" s="47" t="s">
        <v>200</v>
      </c>
      <c r="X134" s="47">
        <v>2</v>
      </c>
      <c r="Y134" s="47">
        <f>U134*挂机玩法规划!$O$4*VLOOKUP(E134,挂机玩法规划!$G$2:$I$17,3,FALSE)</f>
        <v>1440</v>
      </c>
      <c r="Z134" s="17">
        <f t="shared" si="296"/>
        <v>0.8666666666666667</v>
      </c>
      <c r="AA134" s="17">
        <f t="shared" si="297"/>
        <v>624</v>
      </c>
      <c r="AB134" s="17">
        <f>(VLOOKUP(V134,物品id!A:E,5,FALSE)*挂机玩法填表!Z134+VLOOKUP(挂机玩法填表!W134,物品id!A:E,5,FALSE)*挂机玩法填表!AA134)/(U134/60)</f>
        <v>29.431999999999999</v>
      </c>
      <c r="AD134" s="17" t="str">
        <f>IF(G134="","",VLOOKUP(G134,物品id!$A:$B,2,FALSE)&amp;",")</f>
        <v>1311,</v>
      </c>
      <c r="AE134" s="17" t="str">
        <f>IF(H134="","",VLOOKUP(H134,物品id!$A:$B,2,FALSE)&amp;",")</f>
        <v>1321,</v>
      </c>
      <c r="AF134" s="17" t="str">
        <f>IF(I134="","",VLOOKUP(I134,物品id!$A:$B,2,FALSE)&amp;",")</f>
        <v>1331,</v>
      </c>
      <c r="AG134" s="47" t="str">
        <f t="shared" si="42"/>
        <v>1311,1321,1331,</v>
      </c>
      <c r="AH134" s="47" t="str">
        <f t="shared" si="43"/>
        <v>[1311,1321,1331]</v>
      </c>
      <c r="AI134" s="17" t="str">
        <f t="shared" si="290"/>
        <v>4,</v>
      </c>
      <c r="AJ134" s="17" t="str">
        <f t="shared" si="291"/>
        <v>3,</v>
      </c>
      <c r="AK134" s="17" t="str">
        <f t="shared" si="292"/>
        <v>3,</v>
      </c>
      <c r="AL134" s="47" t="str">
        <f t="shared" si="44"/>
        <v>4,3,3,</v>
      </c>
      <c r="AM134" s="47" t="str">
        <f t="shared" si="45"/>
        <v>[4,3,3]</v>
      </c>
      <c r="AN134" s="47" t="str">
        <f>VLOOKUP(T134,物品id!$A:$B,2,FALSE)&amp;","</f>
        <v>102,</v>
      </c>
      <c r="AO134" s="17" t="str">
        <f t="shared" si="298"/>
        <v>[102]</v>
      </c>
      <c r="AP134" s="47" t="str">
        <f t="shared" si="293"/>
        <v>240,</v>
      </c>
      <c r="AQ134" s="17" t="str">
        <f t="shared" si="299"/>
        <v>[240]</v>
      </c>
      <c r="AR134" s="47" t="str">
        <f>IF(V134="","",VLOOKUP(V134,物品id!$A:$B,2,FALSE)&amp;",")</f>
        <v>20033,</v>
      </c>
      <c r="AS134" s="47" t="str">
        <f>IF(W134="","",VLOOKUP(W134,物品id!$A:$B,2,FALSE)&amp;",")</f>
        <v>102,</v>
      </c>
      <c r="AT134" s="47" t="str">
        <f t="shared" si="46"/>
        <v>20033,102,</v>
      </c>
      <c r="AU134" s="47" t="str">
        <f t="shared" si="47"/>
        <v>[20033,102]</v>
      </c>
      <c r="AV134" s="47" t="str">
        <f t="shared" si="294"/>
        <v>2,</v>
      </c>
      <c r="AW134" s="47" t="str">
        <f t="shared" si="295"/>
        <v>1440,</v>
      </c>
      <c r="AX134" s="47" t="str">
        <f t="shared" si="48"/>
        <v>2,1440,</v>
      </c>
      <c r="AY134" s="47" t="str">
        <f t="shared" si="49"/>
        <v>[2,1440]</v>
      </c>
    </row>
    <row r="135" spans="1:51" s="47" customFormat="1" x14ac:dyDescent="0.2">
      <c r="A135" s="47">
        <v>5</v>
      </c>
      <c r="B135" s="47" t="s">
        <v>1032</v>
      </c>
      <c r="C135" s="47">
        <v>46</v>
      </c>
      <c r="D135" s="34" t="s">
        <v>1151</v>
      </c>
      <c r="E135" s="47" t="s">
        <v>1017</v>
      </c>
      <c r="F135" s="47">
        <v>3</v>
      </c>
      <c r="G135" s="47" t="s">
        <v>817</v>
      </c>
      <c r="H135" s="47" t="s">
        <v>818</v>
      </c>
      <c r="I135" s="47" t="s">
        <v>819</v>
      </c>
      <c r="J135" s="17">
        <v>0.8</v>
      </c>
      <c r="K135" s="17">
        <v>0</v>
      </c>
      <c r="L135" s="17">
        <v>0</v>
      </c>
      <c r="M135" s="35">
        <f>(IF(G135="",挂机玩法规划!$L$2,VLOOKUP(G135,物品id!A:D,4,FALSE)*IF(J135=0,1,4))*IF(J135=0,1,J135)+IF(H135="",挂机玩法规划!$L$2,VLOOKUP(H135,物品id!A:D,4,FALSE)*IF(K135=0,1,4))*IF(K135=0,1,K135)+IF(I135="",挂机玩法规划!$L$2,VLOOKUP(I135,物品id!A:D,4,FALSE)*IF(L135=0,1,4))*IF(L135=0,1,L135))/O135</f>
        <v>0.43333333333333335</v>
      </c>
      <c r="N135" s="44">
        <f>IF(G135="",挂机玩法规划!$L$2,VLOOKUP(G135,物品id!A:D,4,FALSE)*4)+IF(H135="",挂机玩法规划!$L$2,VLOOKUP(H135,物品id!A:D,4,FALSE)*4)+IF(I135="",挂机玩法规划!$L$2,VLOOKUP(I135,物品id!A:D,4,FALSE)*4)</f>
        <v>360</v>
      </c>
      <c r="O135" s="48">
        <v>360</v>
      </c>
      <c r="P135" s="47">
        <v>4</v>
      </c>
      <c r="Q135" s="47">
        <v>3</v>
      </c>
      <c r="R135" s="47">
        <v>3</v>
      </c>
      <c r="S135" s="47">
        <v>240</v>
      </c>
      <c r="T135" s="47" t="s">
        <v>835</v>
      </c>
      <c r="U135" s="47">
        <v>240</v>
      </c>
      <c r="V135" s="47" t="s">
        <v>837</v>
      </c>
      <c r="W135" s="47" t="s">
        <v>200</v>
      </c>
      <c r="X135" s="47">
        <v>2</v>
      </c>
      <c r="Y135" s="47">
        <f>U135*挂机玩法规划!$O$4*VLOOKUP(E135,挂机玩法规划!$G$2:$I$17,3,FALSE)</f>
        <v>1440</v>
      </c>
      <c r="Z135" s="17">
        <f t="shared" si="296"/>
        <v>0.8666666666666667</v>
      </c>
      <c r="AA135" s="17">
        <f t="shared" si="297"/>
        <v>624</v>
      </c>
      <c r="AB135" s="17">
        <f>(VLOOKUP(V135,物品id!A:E,5,FALSE)*挂机玩法填表!Z135+VLOOKUP(挂机玩法填表!W135,物品id!A:E,5,FALSE)*挂机玩法填表!AA135)/(U135/60)</f>
        <v>29.431999999999999</v>
      </c>
      <c r="AD135" s="17" t="str">
        <f>IF(G135="","",VLOOKUP(G135,物品id!$A:$B,2,FALSE)&amp;",")</f>
        <v>2311,</v>
      </c>
      <c r="AE135" s="17" t="str">
        <f>IF(H135="","",VLOOKUP(H135,物品id!$A:$B,2,FALSE)&amp;",")</f>
        <v>2321,</v>
      </c>
      <c r="AF135" s="17" t="str">
        <f>IF(I135="","",VLOOKUP(I135,物品id!$A:$B,2,FALSE)&amp;",")</f>
        <v>2331,</v>
      </c>
      <c r="AG135" s="47" t="str">
        <f t="shared" ref="AG135:AG136" si="308">AD135&amp;AE135&amp;AF135</f>
        <v>2311,2321,2331,</v>
      </c>
      <c r="AH135" s="47" t="str">
        <f t="shared" ref="AH135:AH136" si="309">"["&amp;LEFT(AG135,LEN(AG135)-1)&amp;"]"</f>
        <v>[2311,2321,2331]</v>
      </c>
      <c r="AI135" s="17" t="str">
        <f t="shared" si="290"/>
        <v>4,</v>
      </c>
      <c r="AJ135" s="17" t="str">
        <f t="shared" si="291"/>
        <v>3,</v>
      </c>
      <c r="AK135" s="17" t="str">
        <f t="shared" si="292"/>
        <v>3,</v>
      </c>
      <c r="AL135" s="47" t="str">
        <f t="shared" ref="AL135:AL136" si="310">AI135&amp;AJ135&amp;AK135</f>
        <v>4,3,3,</v>
      </c>
      <c r="AM135" s="47" t="str">
        <f t="shared" ref="AM135:AM136" si="311">"["&amp;LEFT(AL135,LEN(AL135)-1)&amp;"]"</f>
        <v>[4,3,3]</v>
      </c>
      <c r="AN135" s="47" t="str">
        <f>VLOOKUP(T135,物品id!$A:$B,2,FALSE)&amp;","</f>
        <v>102,</v>
      </c>
      <c r="AO135" s="17" t="str">
        <f t="shared" si="298"/>
        <v>[102]</v>
      </c>
      <c r="AP135" s="47" t="str">
        <f t="shared" si="293"/>
        <v>240,</v>
      </c>
      <c r="AQ135" s="17" t="str">
        <f t="shared" si="299"/>
        <v>[240]</v>
      </c>
      <c r="AR135" s="47" t="str">
        <f>IF(V135="","",VLOOKUP(V135,物品id!$A:$B,2,FALSE)&amp;",")</f>
        <v>20033,</v>
      </c>
      <c r="AS135" s="47" t="str">
        <f>IF(W135="","",VLOOKUP(W135,物品id!$A:$B,2,FALSE)&amp;",")</f>
        <v>102,</v>
      </c>
      <c r="AT135" s="47" t="str">
        <f t="shared" ref="AT135:AT136" si="312">AR135&amp;AS135</f>
        <v>20033,102,</v>
      </c>
      <c r="AU135" s="47" t="str">
        <f t="shared" ref="AU135:AU136" si="313">"["&amp;LEFT(AT135,LEN(AT135)-1)&amp;"]"</f>
        <v>[20033,102]</v>
      </c>
      <c r="AV135" s="47" t="str">
        <f t="shared" si="294"/>
        <v>2,</v>
      </c>
      <c r="AW135" s="47" t="str">
        <f t="shared" si="295"/>
        <v>1440,</v>
      </c>
      <c r="AX135" s="47" t="str">
        <f t="shared" ref="AX135:AX136" si="314">AV135&amp;AW135</f>
        <v>2,1440,</v>
      </c>
      <c r="AY135" s="47" t="str">
        <f t="shared" ref="AY135:AY136" si="315">"["&amp;LEFT(AX135,LEN(AX135)-1)&amp;"]"</f>
        <v>[2,1440]</v>
      </c>
    </row>
    <row r="136" spans="1:51" s="47" customFormat="1" x14ac:dyDescent="0.2">
      <c r="A136" s="47">
        <v>5</v>
      </c>
      <c r="B136" s="47" t="s">
        <v>1032</v>
      </c>
      <c r="C136" s="47">
        <v>46</v>
      </c>
      <c r="D136" s="34" t="s">
        <v>1151</v>
      </c>
      <c r="E136" s="47" t="s">
        <v>1017</v>
      </c>
      <c r="F136" s="47">
        <v>3</v>
      </c>
      <c r="G136" s="47" t="s">
        <v>827</v>
      </c>
      <c r="H136" s="47" t="s">
        <v>828</v>
      </c>
      <c r="I136" s="47" t="s">
        <v>829</v>
      </c>
      <c r="J136" s="17">
        <v>0.8</v>
      </c>
      <c r="K136" s="17">
        <v>0</v>
      </c>
      <c r="L136" s="17">
        <v>0</v>
      </c>
      <c r="M136" s="35">
        <f>(IF(G136="",挂机玩法规划!$L$2,VLOOKUP(G136,物品id!A:D,4,FALSE)*IF(J136=0,1,4))*IF(J136=0,1,J136)+IF(H136="",挂机玩法规划!$L$2,VLOOKUP(H136,物品id!A:D,4,FALSE)*IF(K136=0,1,4))*IF(K136=0,1,K136)+IF(I136="",挂机玩法规划!$L$2,VLOOKUP(I136,物品id!A:D,4,FALSE)*IF(L136=0,1,4))*IF(L136=0,1,L136))/O136</f>
        <v>0.43333333333333335</v>
      </c>
      <c r="N136" s="44">
        <f>IF(G136="",挂机玩法规划!$L$2,VLOOKUP(G136,物品id!A:D,4,FALSE)*4)+IF(H136="",挂机玩法规划!$L$2,VLOOKUP(H136,物品id!A:D,4,FALSE)*4)+IF(I136="",挂机玩法规划!$L$2,VLOOKUP(I136,物品id!A:D,4,FALSE)*4)</f>
        <v>360</v>
      </c>
      <c r="O136" s="48">
        <v>360</v>
      </c>
      <c r="P136" s="47">
        <v>4</v>
      </c>
      <c r="Q136" s="47">
        <v>3</v>
      </c>
      <c r="R136" s="47">
        <v>3</v>
      </c>
      <c r="S136" s="47">
        <v>240</v>
      </c>
      <c r="T136" s="47" t="s">
        <v>835</v>
      </c>
      <c r="U136" s="47">
        <v>240</v>
      </c>
      <c r="V136" s="47" t="s">
        <v>837</v>
      </c>
      <c r="W136" s="47" t="s">
        <v>200</v>
      </c>
      <c r="X136" s="47">
        <v>2</v>
      </c>
      <c r="Y136" s="47">
        <f>U136*挂机玩法规划!$O$4*VLOOKUP(E136,挂机玩法规划!$G$2:$I$17,3,FALSE)</f>
        <v>1440</v>
      </c>
      <c r="Z136" s="17">
        <f t="shared" si="296"/>
        <v>0.8666666666666667</v>
      </c>
      <c r="AA136" s="17">
        <f t="shared" si="297"/>
        <v>624</v>
      </c>
      <c r="AB136" s="17">
        <f>(VLOOKUP(V136,物品id!A:E,5,FALSE)*挂机玩法填表!Z136+VLOOKUP(挂机玩法填表!W136,物品id!A:E,5,FALSE)*挂机玩法填表!AA136)/(U136/60)</f>
        <v>29.431999999999999</v>
      </c>
      <c r="AD136" s="17" t="str">
        <f>IF(G136="","",VLOOKUP(G136,物品id!$A:$B,2,FALSE)&amp;",")</f>
        <v>3311,</v>
      </c>
      <c r="AE136" s="17" t="str">
        <f>IF(H136="","",VLOOKUP(H136,物品id!$A:$B,2,FALSE)&amp;",")</f>
        <v>3321,</v>
      </c>
      <c r="AF136" s="17" t="str">
        <f>IF(I136="","",VLOOKUP(I136,物品id!$A:$B,2,FALSE)&amp;",")</f>
        <v>3331,</v>
      </c>
      <c r="AG136" s="47" t="str">
        <f t="shared" si="308"/>
        <v>3311,3321,3331,</v>
      </c>
      <c r="AH136" s="47" t="str">
        <f t="shared" si="309"/>
        <v>[3311,3321,3331]</v>
      </c>
      <c r="AI136" s="17" t="str">
        <f t="shared" si="290"/>
        <v>4,</v>
      </c>
      <c r="AJ136" s="17" t="str">
        <f t="shared" si="291"/>
        <v>3,</v>
      </c>
      <c r="AK136" s="17" t="str">
        <f t="shared" si="292"/>
        <v>3,</v>
      </c>
      <c r="AL136" s="47" t="str">
        <f t="shared" si="310"/>
        <v>4,3,3,</v>
      </c>
      <c r="AM136" s="47" t="str">
        <f t="shared" si="311"/>
        <v>[4,3,3]</v>
      </c>
      <c r="AN136" s="47" t="str">
        <f>VLOOKUP(T136,物品id!$A:$B,2,FALSE)&amp;","</f>
        <v>102,</v>
      </c>
      <c r="AO136" s="17" t="str">
        <f t="shared" si="298"/>
        <v>[102]</v>
      </c>
      <c r="AP136" s="47" t="str">
        <f t="shared" si="293"/>
        <v>240,</v>
      </c>
      <c r="AQ136" s="17" t="str">
        <f t="shared" si="299"/>
        <v>[240]</v>
      </c>
      <c r="AR136" s="47" t="str">
        <f>IF(V136="","",VLOOKUP(V136,物品id!$A:$B,2,FALSE)&amp;",")</f>
        <v>20033,</v>
      </c>
      <c r="AS136" s="47" t="str">
        <f>IF(W136="","",VLOOKUP(W136,物品id!$A:$B,2,FALSE)&amp;",")</f>
        <v>102,</v>
      </c>
      <c r="AT136" s="47" t="str">
        <f t="shared" si="312"/>
        <v>20033,102,</v>
      </c>
      <c r="AU136" s="47" t="str">
        <f t="shared" si="313"/>
        <v>[20033,102]</v>
      </c>
      <c r="AV136" s="47" t="str">
        <f t="shared" si="294"/>
        <v>2,</v>
      </c>
      <c r="AW136" s="47" t="str">
        <f t="shared" si="295"/>
        <v>1440,</v>
      </c>
      <c r="AX136" s="47" t="str">
        <f t="shared" si="314"/>
        <v>2,1440,</v>
      </c>
      <c r="AY136" s="47" t="str">
        <f t="shared" si="315"/>
        <v>[2,1440]</v>
      </c>
    </row>
    <row r="137" spans="1:51" s="47" customFormat="1" x14ac:dyDescent="0.2">
      <c r="A137" s="47">
        <v>5</v>
      </c>
      <c r="B137" s="47" t="s">
        <v>1032</v>
      </c>
      <c r="C137" s="47">
        <v>46</v>
      </c>
      <c r="D137" s="34" t="s">
        <v>1151</v>
      </c>
      <c r="E137" s="47" t="s">
        <v>1031</v>
      </c>
      <c r="F137" s="47">
        <v>3</v>
      </c>
      <c r="G137" s="47" t="s">
        <v>806</v>
      </c>
      <c r="H137" s="47" t="s">
        <v>807</v>
      </c>
      <c r="I137" s="47" t="s">
        <v>808</v>
      </c>
      <c r="J137" s="17">
        <v>0.8</v>
      </c>
      <c r="K137" s="17">
        <v>0</v>
      </c>
      <c r="L137" s="17">
        <v>0</v>
      </c>
      <c r="M137" s="35">
        <f>(IF(G137="",挂机玩法规划!$L$2,VLOOKUP(G137,物品id!A:D,4,FALSE)*IF(J137=0,1,4))*IF(J137=0,1,J137)+IF(H137="",挂机玩法规划!$L$2,VLOOKUP(H137,物品id!A:D,4,FALSE)*IF(K137=0,1,4))*IF(K137=0,1,K137)+IF(I137="",挂机玩法规划!$L$2,VLOOKUP(I137,物品id!A:D,4,FALSE)*IF(L137=0,1,4))*IF(L137=0,1,L137))/O137</f>
        <v>0.43333333333333335</v>
      </c>
      <c r="N137" s="44">
        <f>IF(G137="",挂机玩法规划!$L$2,VLOOKUP(G137,物品id!A:D,4,FALSE)*4)+IF(H137="",挂机玩法规划!$L$2,VLOOKUP(H137,物品id!A:D,4,FALSE)*4)+IF(I137="",挂机玩法规划!$L$2,VLOOKUP(I137,物品id!A:D,4,FALSE)*4)</f>
        <v>360</v>
      </c>
      <c r="O137" s="48">
        <v>360</v>
      </c>
      <c r="P137" s="47">
        <v>4</v>
      </c>
      <c r="Q137" s="47">
        <v>3</v>
      </c>
      <c r="R137" s="47">
        <v>3</v>
      </c>
      <c r="S137" s="47">
        <v>480</v>
      </c>
      <c r="T137" s="47" t="s">
        <v>835</v>
      </c>
      <c r="U137" s="47">
        <v>480</v>
      </c>
      <c r="V137" s="47" t="s">
        <v>837</v>
      </c>
      <c r="W137" s="47" t="s">
        <v>200</v>
      </c>
      <c r="X137" s="47">
        <v>3</v>
      </c>
      <c r="Y137" s="47">
        <f>U137*挂机玩法规划!$O$4*VLOOKUP(E137,挂机玩法规划!$G$2:$I$17,3,FALSE)</f>
        <v>2880</v>
      </c>
      <c r="Z137" s="17">
        <f t="shared" si="296"/>
        <v>1.3</v>
      </c>
      <c r="AA137" s="17">
        <f t="shared" si="297"/>
        <v>1248</v>
      </c>
      <c r="AB137" s="17">
        <f>(VLOOKUP(V137,物品id!A:E,5,FALSE)*挂机玩法填表!Z137+VLOOKUP(挂机玩法填表!W137,物品id!A:E,5,FALSE)*挂机玩法填表!AA137)/(U137/60)</f>
        <v>22.931999999999999</v>
      </c>
      <c r="AD137" s="17" t="str">
        <f>IF(G137="","",VLOOKUP(G137,物品id!$A:$B,2,FALSE)&amp;",")</f>
        <v>1311,</v>
      </c>
      <c r="AE137" s="17" t="str">
        <f>IF(H137="","",VLOOKUP(H137,物品id!$A:$B,2,FALSE)&amp;",")</f>
        <v>1321,</v>
      </c>
      <c r="AF137" s="17" t="str">
        <f>IF(I137="","",VLOOKUP(I137,物品id!$A:$B,2,FALSE)&amp;",")</f>
        <v>1331,</v>
      </c>
      <c r="AG137" s="47" t="str">
        <f t="shared" si="42"/>
        <v>1311,1321,1331,</v>
      </c>
      <c r="AH137" s="47" t="str">
        <f t="shared" si="43"/>
        <v>[1311,1321,1331]</v>
      </c>
      <c r="AI137" s="17" t="str">
        <f t="shared" si="290"/>
        <v>4,</v>
      </c>
      <c r="AJ137" s="17" t="str">
        <f t="shared" si="291"/>
        <v>3,</v>
      </c>
      <c r="AK137" s="17" t="str">
        <f t="shared" si="292"/>
        <v>3,</v>
      </c>
      <c r="AL137" s="47" t="str">
        <f t="shared" si="44"/>
        <v>4,3,3,</v>
      </c>
      <c r="AM137" s="47" t="str">
        <f t="shared" si="45"/>
        <v>[4,3,3]</v>
      </c>
      <c r="AN137" s="47" t="str">
        <f>VLOOKUP(T137,物品id!$A:$B,2,FALSE)&amp;","</f>
        <v>102,</v>
      </c>
      <c r="AO137" s="17" t="str">
        <f t="shared" si="298"/>
        <v>[102]</v>
      </c>
      <c r="AP137" s="47" t="str">
        <f t="shared" si="293"/>
        <v>480,</v>
      </c>
      <c r="AQ137" s="17" t="str">
        <f t="shared" si="299"/>
        <v>[480]</v>
      </c>
      <c r="AR137" s="47" t="str">
        <f>IF(V137="","",VLOOKUP(V137,物品id!$A:$B,2,FALSE)&amp;",")</f>
        <v>20033,</v>
      </c>
      <c r="AS137" s="47" t="str">
        <f>IF(W137="","",VLOOKUP(W137,物品id!$A:$B,2,FALSE)&amp;",")</f>
        <v>102,</v>
      </c>
      <c r="AT137" s="47" t="str">
        <f t="shared" si="46"/>
        <v>20033,102,</v>
      </c>
      <c r="AU137" s="47" t="str">
        <f t="shared" si="47"/>
        <v>[20033,102]</v>
      </c>
      <c r="AV137" s="47" t="str">
        <f t="shared" si="294"/>
        <v>3,</v>
      </c>
      <c r="AW137" s="47" t="str">
        <f t="shared" si="295"/>
        <v>2880,</v>
      </c>
      <c r="AX137" s="47" t="str">
        <f t="shared" si="48"/>
        <v>3,2880,</v>
      </c>
      <c r="AY137" s="47" t="str">
        <f t="shared" si="49"/>
        <v>[3,2880]</v>
      </c>
    </row>
    <row r="138" spans="1:51" s="47" customFormat="1" x14ac:dyDescent="0.2">
      <c r="A138" s="47">
        <v>5</v>
      </c>
      <c r="B138" s="47" t="s">
        <v>1032</v>
      </c>
      <c r="C138" s="47">
        <v>46</v>
      </c>
      <c r="D138" s="34" t="s">
        <v>1151</v>
      </c>
      <c r="E138" s="47" t="s">
        <v>1017</v>
      </c>
      <c r="F138" s="47">
        <v>3</v>
      </c>
      <c r="G138" s="47" t="s">
        <v>817</v>
      </c>
      <c r="H138" s="47" t="s">
        <v>818</v>
      </c>
      <c r="I138" s="47" t="s">
        <v>819</v>
      </c>
      <c r="J138" s="17">
        <v>0.8</v>
      </c>
      <c r="K138" s="17">
        <v>0</v>
      </c>
      <c r="L138" s="17">
        <v>0</v>
      </c>
      <c r="M138" s="35">
        <f>(IF(G138="",挂机玩法规划!$L$2,VLOOKUP(G138,物品id!A:D,4,FALSE)*IF(J138=0,1,4))*IF(J138=0,1,J138)+IF(H138="",挂机玩法规划!$L$2,VLOOKUP(H138,物品id!A:D,4,FALSE)*IF(K138=0,1,4))*IF(K138=0,1,K138)+IF(I138="",挂机玩法规划!$L$2,VLOOKUP(I138,物品id!A:D,4,FALSE)*IF(L138=0,1,4))*IF(L138=0,1,L138))/O138</f>
        <v>0.43333333333333335</v>
      </c>
      <c r="N138" s="44">
        <f>IF(G138="",挂机玩法规划!$L$2,VLOOKUP(G138,物品id!A:D,4,FALSE)*4)+IF(H138="",挂机玩法规划!$L$2,VLOOKUP(H138,物品id!A:D,4,FALSE)*4)+IF(I138="",挂机玩法规划!$L$2,VLOOKUP(I138,物品id!A:D,4,FALSE)*4)</f>
        <v>360</v>
      </c>
      <c r="O138" s="48">
        <v>360</v>
      </c>
      <c r="P138" s="47">
        <v>4</v>
      </c>
      <c r="Q138" s="47">
        <v>3</v>
      </c>
      <c r="R138" s="47">
        <v>3</v>
      </c>
      <c r="S138" s="47">
        <v>480</v>
      </c>
      <c r="T138" s="47" t="s">
        <v>835</v>
      </c>
      <c r="U138" s="47">
        <v>480</v>
      </c>
      <c r="V138" s="47" t="s">
        <v>837</v>
      </c>
      <c r="W138" s="47" t="s">
        <v>200</v>
      </c>
      <c r="X138" s="47">
        <v>3</v>
      </c>
      <c r="Y138" s="47">
        <f>U138*挂机玩法规划!$O$4*VLOOKUP(E138,挂机玩法规划!$G$2:$I$17,3,FALSE)</f>
        <v>2880</v>
      </c>
      <c r="Z138" s="17">
        <f t="shared" si="296"/>
        <v>1.3</v>
      </c>
      <c r="AA138" s="17">
        <f t="shared" si="297"/>
        <v>1248</v>
      </c>
      <c r="AB138" s="17">
        <f>(VLOOKUP(V138,物品id!A:E,5,FALSE)*挂机玩法填表!Z138+VLOOKUP(挂机玩法填表!W138,物品id!A:E,5,FALSE)*挂机玩法填表!AA138)/(U138/60)</f>
        <v>22.931999999999999</v>
      </c>
      <c r="AD138" s="17" t="str">
        <f>IF(G138="","",VLOOKUP(G138,物品id!$A:$B,2,FALSE)&amp;",")</f>
        <v>2311,</v>
      </c>
      <c r="AE138" s="17" t="str">
        <f>IF(H138="","",VLOOKUP(H138,物品id!$A:$B,2,FALSE)&amp;",")</f>
        <v>2321,</v>
      </c>
      <c r="AF138" s="17" t="str">
        <f>IF(I138="","",VLOOKUP(I138,物品id!$A:$B,2,FALSE)&amp;",")</f>
        <v>2331,</v>
      </c>
      <c r="AG138" s="47" t="str">
        <f t="shared" ref="AG138:AG139" si="316">AD138&amp;AE138&amp;AF138</f>
        <v>2311,2321,2331,</v>
      </c>
      <c r="AH138" s="47" t="str">
        <f t="shared" ref="AH138:AH139" si="317">"["&amp;LEFT(AG138,LEN(AG138)-1)&amp;"]"</f>
        <v>[2311,2321,2331]</v>
      </c>
      <c r="AI138" s="17" t="str">
        <f t="shared" si="290"/>
        <v>4,</v>
      </c>
      <c r="AJ138" s="17" t="str">
        <f t="shared" si="291"/>
        <v>3,</v>
      </c>
      <c r="AK138" s="17" t="str">
        <f t="shared" si="292"/>
        <v>3,</v>
      </c>
      <c r="AL138" s="47" t="str">
        <f t="shared" ref="AL138:AL139" si="318">AI138&amp;AJ138&amp;AK138</f>
        <v>4,3,3,</v>
      </c>
      <c r="AM138" s="47" t="str">
        <f t="shared" ref="AM138:AM139" si="319">"["&amp;LEFT(AL138,LEN(AL138)-1)&amp;"]"</f>
        <v>[4,3,3]</v>
      </c>
      <c r="AN138" s="47" t="str">
        <f>VLOOKUP(T138,物品id!$A:$B,2,FALSE)&amp;","</f>
        <v>102,</v>
      </c>
      <c r="AO138" s="17" t="str">
        <f t="shared" si="298"/>
        <v>[102]</v>
      </c>
      <c r="AP138" s="47" t="str">
        <f t="shared" si="293"/>
        <v>480,</v>
      </c>
      <c r="AQ138" s="17" t="str">
        <f t="shared" si="299"/>
        <v>[480]</v>
      </c>
      <c r="AR138" s="47" t="str">
        <f>IF(V138="","",VLOOKUP(V138,物品id!$A:$B,2,FALSE)&amp;",")</f>
        <v>20033,</v>
      </c>
      <c r="AS138" s="47" t="str">
        <f>IF(W138="","",VLOOKUP(W138,物品id!$A:$B,2,FALSE)&amp;",")</f>
        <v>102,</v>
      </c>
      <c r="AT138" s="47" t="str">
        <f t="shared" ref="AT138:AT139" si="320">AR138&amp;AS138</f>
        <v>20033,102,</v>
      </c>
      <c r="AU138" s="47" t="str">
        <f t="shared" ref="AU138:AU139" si="321">"["&amp;LEFT(AT138,LEN(AT138)-1)&amp;"]"</f>
        <v>[20033,102]</v>
      </c>
      <c r="AV138" s="47" t="str">
        <f t="shared" si="294"/>
        <v>3,</v>
      </c>
      <c r="AW138" s="47" t="str">
        <f t="shared" si="295"/>
        <v>2880,</v>
      </c>
      <c r="AX138" s="47" t="str">
        <f t="shared" ref="AX138:AX139" si="322">AV138&amp;AW138</f>
        <v>3,2880,</v>
      </c>
      <c r="AY138" s="47" t="str">
        <f t="shared" ref="AY138:AY139" si="323">"["&amp;LEFT(AX138,LEN(AX138)-1)&amp;"]"</f>
        <v>[3,2880]</v>
      </c>
    </row>
    <row r="139" spans="1:51" s="47" customFormat="1" x14ac:dyDescent="0.2">
      <c r="A139" s="47">
        <v>5</v>
      </c>
      <c r="B139" s="47" t="s">
        <v>1032</v>
      </c>
      <c r="C139" s="47">
        <v>46</v>
      </c>
      <c r="D139" s="34" t="s">
        <v>1151</v>
      </c>
      <c r="E139" s="47" t="s">
        <v>1017</v>
      </c>
      <c r="F139" s="47">
        <v>3</v>
      </c>
      <c r="G139" s="47" t="s">
        <v>827</v>
      </c>
      <c r="H139" s="47" t="s">
        <v>828</v>
      </c>
      <c r="I139" s="47" t="s">
        <v>829</v>
      </c>
      <c r="J139" s="17">
        <v>0.8</v>
      </c>
      <c r="K139" s="17">
        <v>0</v>
      </c>
      <c r="L139" s="17">
        <v>0</v>
      </c>
      <c r="M139" s="35">
        <f>(IF(G139="",挂机玩法规划!$L$2,VLOOKUP(G139,物品id!A:D,4,FALSE)*IF(J139=0,1,4))*IF(J139=0,1,J139)+IF(H139="",挂机玩法规划!$L$2,VLOOKUP(H139,物品id!A:D,4,FALSE)*IF(K139=0,1,4))*IF(K139=0,1,K139)+IF(I139="",挂机玩法规划!$L$2,VLOOKUP(I139,物品id!A:D,4,FALSE)*IF(L139=0,1,4))*IF(L139=0,1,L139))/O139</f>
        <v>0.43333333333333335</v>
      </c>
      <c r="N139" s="44">
        <f>IF(G139="",挂机玩法规划!$L$2,VLOOKUP(G139,物品id!A:D,4,FALSE)*4)+IF(H139="",挂机玩法规划!$L$2,VLOOKUP(H139,物品id!A:D,4,FALSE)*4)+IF(I139="",挂机玩法规划!$L$2,VLOOKUP(I139,物品id!A:D,4,FALSE)*4)</f>
        <v>360</v>
      </c>
      <c r="O139" s="48">
        <v>360</v>
      </c>
      <c r="P139" s="47">
        <v>4</v>
      </c>
      <c r="Q139" s="47">
        <v>3</v>
      </c>
      <c r="R139" s="47">
        <v>3</v>
      </c>
      <c r="S139" s="47">
        <v>480</v>
      </c>
      <c r="T139" s="47" t="s">
        <v>835</v>
      </c>
      <c r="U139" s="47">
        <v>480</v>
      </c>
      <c r="V139" s="47" t="s">
        <v>837</v>
      </c>
      <c r="W139" s="47" t="s">
        <v>200</v>
      </c>
      <c r="X139" s="47">
        <v>3</v>
      </c>
      <c r="Y139" s="47">
        <f>U139*挂机玩法规划!$O$4*VLOOKUP(E139,挂机玩法规划!$G$2:$I$17,3,FALSE)</f>
        <v>2880</v>
      </c>
      <c r="Z139" s="17">
        <f t="shared" si="296"/>
        <v>1.3</v>
      </c>
      <c r="AA139" s="17">
        <f t="shared" si="297"/>
        <v>1248</v>
      </c>
      <c r="AB139" s="17">
        <f>(VLOOKUP(V139,物品id!A:E,5,FALSE)*挂机玩法填表!Z139+VLOOKUP(挂机玩法填表!W139,物品id!A:E,5,FALSE)*挂机玩法填表!AA139)/(U139/60)</f>
        <v>22.931999999999999</v>
      </c>
      <c r="AD139" s="17" t="str">
        <f>IF(G139="","",VLOOKUP(G139,物品id!$A:$B,2,FALSE)&amp;",")</f>
        <v>3311,</v>
      </c>
      <c r="AE139" s="17" t="str">
        <f>IF(H139="","",VLOOKUP(H139,物品id!$A:$B,2,FALSE)&amp;",")</f>
        <v>3321,</v>
      </c>
      <c r="AF139" s="17" t="str">
        <f>IF(I139="","",VLOOKUP(I139,物品id!$A:$B,2,FALSE)&amp;",")</f>
        <v>3331,</v>
      </c>
      <c r="AG139" s="47" t="str">
        <f t="shared" si="316"/>
        <v>3311,3321,3331,</v>
      </c>
      <c r="AH139" s="47" t="str">
        <f t="shared" si="317"/>
        <v>[3311,3321,3331]</v>
      </c>
      <c r="AI139" s="17" t="str">
        <f t="shared" si="290"/>
        <v>4,</v>
      </c>
      <c r="AJ139" s="17" t="str">
        <f t="shared" si="291"/>
        <v>3,</v>
      </c>
      <c r="AK139" s="17" t="str">
        <f t="shared" si="292"/>
        <v>3,</v>
      </c>
      <c r="AL139" s="47" t="str">
        <f t="shared" si="318"/>
        <v>4,3,3,</v>
      </c>
      <c r="AM139" s="47" t="str">
        <f t="shared" si="319"/>
        <v>[4,3,3]</v>
      </c>
      <c r="AN139" s="47" t="str">
        <f>VLOOKUP(T139,物品id!$A:$B,2,FALSE)&amp;","</f>
        <v>102,</v>
      </c>
      <c r="AO139" s="17" t="str">
        <f t="shared" si="298"/>
        <v>[102]</v>
      </c>
      <c r="AP139" s="47" t="str">
        <f t="shared" si="293"/>
        <v>480,</v>
      </c>
      <c r="AQ139" s="17" t="str">
        <f t="shared" si="299"/>
        <v>[480]</v>
      </c>
      <c r="AR139" s="47" t="str">
        <f>IF(V139="","",VLOOKUP(V139,物品id!$A:$B,2,FALSE)&amp;",")</f>
        <v>20033,</v>
      </c>
      <c r="AS139" s="47" t="str">
        <f>IF(W139="","",VLOOKUP(W139,物品id!$A:$B,2,FALSE)&amp;",")</f>
        <v>102,</v>
      </c>
      <c r="AT139" s="47" t="str">
        <f t="shared" si="320"/>
        <v>20033,102,</v>
      </c>
      <c r="AU139" s="47" t="str">
        <f t="shared" si="321"/>
        <v>[20033,102]</v>
      </c>
      <c r="AV139" s="47" t="str">
        <f t="shared" si="294"/>
        <v>3,</v>
      </c>
      <c r="AW139" s="47" t="str">
        <f t="shared" si="295"/>
        <v>2880,</v>
      </c>
      <c r="AX139" s="47" t="str">
        <f t="shared" si="322"/>
        <v>3,2880,</v>
      </c>
      <c r="AY139" s="47" t="str">
        <f t="shared" si="323"/>
        <v>[3,2880]</v>
      </c>
    </row>
    <row r="140" spans="1:51" s="47" customFormat="1" x14ac:dyDescent="0.2">
      <c r="A140" s="47">
        <v>5</v>
      </c>
      <c r="B140" s="47" t="s">
        <v>1032</v>
      </c>
      <c r="C140" s="47">
        <v>46</v>
      </c>
      <c r="D140" s="34" t="s">
        <v>1151</v>
      </c>
      <c r="E140" s="47" t="s">
        <v>1031</v>
      </c>
      <c r="F140" s="47">
        <v>3</v>
      </c>
      <c r="G140" s="47" t="s">
        <v>806</v>
      </c>
      <c r="H140" s="47" t="s">
        <v>807</v>
      </c>
      <c r="I140" s="47" t="s">
        <v>808</v>
      </c>
      <c r="J140" s="17">
        <v>0.8</v>
      </c>
      <c r="K140" s="17">
        <v>0</v>
      </c>
      <c r="L140" s="17">
        <v>0</v>
      </c>
      <c r="M140" s="35">
        <f>(IF(G140="",挂机玩法规划!$L$2,VLOOKUP(G140,物品id!A:D,4,FALSE)*IF(J140=0,1,4))*IF(J140=0,1,J140)+IF(H140="",挂机玩法规划!$L$2,VLOOKUP(H140,物品id!A:D,4,FALSE)*IF(K140=0,1,4))*IF(K140=0,1,K140)+IF(I140="",挂机玩法规划!$L$2,VLOOKUP(I140,物品id!A:D,4,FALSE)*IF(L140=0,1,4))*IF(L140=0,1,L140))/O140</f>
        <v>0.43333333333333335</v>
      </c>
      <c r="N140" s="44">
        <f>IF(G140="",挂机玩法规划!$L$2,VLOOKUP(G140,物品id!A:D,4,FALSE)*4)+IF(H140="",挂机玩法规划!$L$2,VLOOKUP(H140,物品id!A:D,4,FALSE)*4)+IF(I140="",挂机玩法规划!$L$2,VLOOKUP(I140,物品id!A:D,4,FALSE)*4)</f>
        <v>360</v>
      </c>
      <c r="O140" s="48">
        <v>360</v>
      </c>
      <c r="P140" s="47">
        <v>4</v>
      </c>
      <c r="Q140" s="47">
        <v>3</v>
      </c>
      <c r="R140" s="47">
        <v>3</v>
      </c>
      <c r="S140" s="47">
        <v>720</v>
      </c>
      <c r="T140" s="47" t="s">
        <v>835</v>
      </c>
      <c r="U140" s="47">
        <v>720</v>
      </c>
      <c r="V140" s="47" t="s">
        <v>837</v>
      </c>
      <c r="W140" s="47" t="s">
        <v>200</v>
      </c>
      <c r="X140" s="47">
        <v>4</v>
      </c>
      <c r="Y140" s="47">
        <f>U140*挂机玩法规划!$O$4*VLOOKUP(E140,挂机玩法规划!$G$2:$I$17,3,FALSE)</f>
        <v>4320</v>
      </c>
      <c r="Z140" s="17">
        <f t="shared" si="296"/>
        <v>1.7333333333333334</v>
      </c>
      <c r="AA140" s="17">
        <f t="shared" si="297"/>
        <v>1872</v>
      </c>
      <c r="AB140" s="17">
        <f>(VLOOKUP(V140,物品id!A:E,5,FALSE)*挂机玩法填表!Z140+VLOOKUP(挂机玩法填表!W140,物品id!A:E,5,FALSE)*挂机玩法填表!AA140)/(U140/60)</f>
        <v>20.765333333333334</v>
      </c>
      <c r="AD140" s="17" t="str">
        <f>IF(G140="","",VLOOKUP(G140,物品id!$A:$B,2,FALSE)&amp;",")</f>
        <v>1311,</v>
      </c>
      <c r="AE140" s="17" t="str">
        <f>IF(H140="","",VLOOKUP(H140,物品id!$A:$B,2,FALSE)&amp;",")</f>
        <v>1321,</v>
      </c>
      <c r="AF140" s="17" t="str">
        <f>IF(I140="","",VLOOKUP(I140,物品id!$A:$B,2,FALSE)&amp;",")</f>
        <v>1331,</v>
      </c>
      <c r="AG140" s="47" t="str">
        <f t="shared" si="42"/>
        <v>1311,1321,1331,</v>
      </c>
      <c r="AH140" s="47" t="str">
        <f t="shared" si="43"/>
        <v>[1311,1321,1331]</v>
      </c>
      <c r="AI140" s="17" t="str">
        <f t="shared" si="290"/>
        <v>4,</v>
      </c>
      <c r="AJ140" s="17" t="str">
        <f t="shared" si="291"/>
        <v>3,</v>
      </c>
      <c r="AK140" s="17" t="str">
        <f t="shared" si="292"/>
        <v>3,</v>
      </c>
      <c r="AL140" s="47" t="str">
        <f t="shared" si="44"/>
        <v>4,3,3,</v>
      </c>
      <c r="AM140" s="47" t="str">
        <f t="shared" si="45"/>
        <v>[4,3,3]</v>
      </c>
      <c r="AN140" s="47" t="str">
        <f>VLOOKUP(T140,物品id!$A:$B,2,FALSE)&amp;","</f>
        <v>102,</v>
      </c>
      <c r="AO140" s="17" t="str">
        <f t="shared" si="298"/>
        <v>[102]</v>
      </c>
      <c r="AP140" s="47" t="str">
        <f t="shared" si="293"/>
        <v>720,</v>
      </c>
      <c r="AQ140" s="17" t="str">
        <f t="shared" si="299"/>
        <v>[720]</v>
      </c>
      <c r="AR140" s="47" t="str">
        <f>IF(V140="","",VLOOKUP(V140,物品id!$A:$B,2,FALSE)&amp;",")</f>
        <v>20033,</v>
      </c>
      <c r="AS140" s="47" t="str">
        <f>IF(W140="","",VLOOKUP(W140,物品id!$A:$B,2,FALSE)&amp;",")</f>
        <v>102,</v>
      </c>
      <c r="AT140" s="47" t="str">
        <f t="shared" si="46"/>
        <v>20033,102,</v>
      </c>
      <c r="AU140" s="47" t="str">
        <f t="shared" si="47"/>
        <v>[20033,102]</v>
      </c>
      <c r="AV140" s="47" t="str">
        <f t="shared" si="294"/>
        <v>4,</v>
      </c>
      <c r="AW140" s="47" t="str">
        <f t="shared" si="295"/>
        <v>4320,</v>
      </c>
      <c r="AX140" s="47" t="str">
        <f t="shared" si="48"/>
        <v>4,4320,</v>
      </c>
      <c r="AY140" s="47" t="str">
        <f t="shared" si="49"/>
        <v>[4,4320]</v>
      </c>
    </row>
    <row r="141" spans="1:51" s="47" customFormat="1" x14ac:dyDescent="0.2">
      <c r="A141" s="47">
        <v>5</v>
      </c>
      <c r="B141" s="47" t="s">
        <v>1032</v>
      </c>
      <c r="C141" s="47">
        <v>46</v>
      </c>
      <c r="D141" s="34" t="s">
        <v>1151</v>
      </c>
      <c r="E141" s="47" t="s">
        <v>1017</v>
      </c>
      <c r="F141" s="47">
        <v>3</v>
      </c>
      <c r="G141" s="47" t="s">
        <v>817</v>
      </c>
      <c r="H141" s="47" t="s">
        <v>818</v>
      </c>
      <c r="I141" s="47" t="s">
        <v>819</v>
      </c>
      <c r="J141" s="17">
        <v>0.8</v>
      </c>
      <c r="K141" s="17">
        <v>0</v>
      </c>
      <c r="L141" s="17">
        <v>0</v>
      </c>
      <c r="M141" s="35">
        <f>(IF(G141="",挂机玩法规划!$L$2,VLOOKUP(G141,物品id!A:D,4,FALSE)*IF(J141=0,1,4))*IF(J141=0,1,J141)+IF(H141="",挂机玩法规划!$L$2,VLOOKUP(H141,物品id!A:D,4,FALSE)*IF(K141=0,1,4))*IF(K141=0,1,K141)+IF(I141="",挂机玩法规划!$L$2,VLOOKUP(I141,物品id!A:D,4,FALSE)*IF(L141=0,1,4))*IF(L141=0,1,L141))/O141</f>
        <v>0.43333333333333335</v>
      </c>
      <c r="N141" s="44">
        <f>IF(G141="",挂机玩法规划!$L$2,VLOOKUP(G141,物品id!A:D,4,FALSE)*4)+IF(H141="",挂机玩法规划!$L$2,VLOOKUP(H141,物品id!A:D,4,FALSE)*4)+IF(I141="",挂机玩法规划!$L$2,VLOOKUP(I141,物品id!A:D,4,FALSE)*4)</f>
        <v>360</v>
      </c>
      <c r="O141" s="48">
        <v>360</v>
      </c>
      <c r="P141" s="47">
        <v>4</v>
      </c>
      <c r="Q141" s="47">
        <v>3</v>
      </c>
      <c r="R141" s="47">
        <v>3</v>
      </c>
      <c r="S141" s="47">
        <v>720</v>
      </c>
      <c r="T141" s="47" t="s">
        <v>835</v>
      </c>
      <c r="U141" s="47">
        <v>720</v>
      </c>
      <c r="V141" s="47" t="s">
        <v>837</v>
      </c>
      <c r="W141" s="47" t="s">
        <v>200</v>
      </c>
      <c r="X141" s="47">
        <v>4</v>
      </c>
      <c r="Y141" s="47">
        <f>U141*挂机玩法规划!$O$4*VLOOKUP(E141,挂机玩法规划!$G$2:$I$17,3,FALSE)</f>
        <v>4320</v>
      </c>
      <c r="Z141" s="17">
        <f t="shared" si="296"/>
        <v>1.7333333333333334</v>
      </c>
      <c r="AA141" s="17">
        <f t="shared" si="297"/>
        <v>1872</v>
      </c>
      <c r="AB141" s="17">
        <f>(VLOOKUP(V141,物品id!A:E,5,FALSE)*挂机玩法填表!Z141+VLOOKUP(挂机玩法填表!W141,物品id!A:E,5,FALSE)*挂机玩法填表!AA141)/(U141/60)</f>
        <v>20.765333333333334</v>
      </c>
      <c r="AD141" s="17" t="str">
        <f>IF(G141="","",VLOOKUP(G141,物品id!$A:$B,2,FALSE)&amp;",")</f>
        <v>2311,</v>
      </c>
      <c r="AE141" s="17" t="str">
        <f>IF(H141="","",VLOOKUP(H141,物品id!$A:$B,2,FALSE)&amp;",")</f>
        <v>2321,</v>
      </c>
      <c r="AF141" s="17" t="str">
        <f>IF(I141="","",VLOOKUP(I141,物品id!$A:$B,2,FALSE)&amp;",")</f>
        <v>2331,</v>
      </c>
      <c r="AG141" s="47" t="str">
        <f t="shared" ref="AG141:AG142" si="324">AD141&amp;AE141&amp;AF141</f>
        <v>2311,2321,2331,</v>
      </c>
      <c r="AH141" s="47" t="str">
        <f t="shared" ref="AH141:AH142" si="325">"["&amp;LEFT(AG141,LEN(AG141)-1)&amp;"]"</f>
        <v>[2311,2321,2331]</v>
      </c>
      <c r="AI141" s="17" t="str">
        <f t="shared" si="290"/>
        <v>4,</v>
      </c>
      <c r="AJ141" s="17" t="str">
        <f t="shared" si="291"/>
        <v>3,</v>
      </c>
      <c r="AK141" s="17" t="str">
        <f t="shared" si="292"/>
        <v>3,</v>
      </c>
      <c r="AL141" s="47" t="str">
        <f t="shared" ref="AL141:AL142" si="326">AI141&amp;AJ141&amp;AK141</f>
        <v>4,3,3,</v>
      </c>
      <c r="AM141" s="47" t="str">
        <f t="shared" ref="AM141:AM142" si="327">"["&amp;LEFT(AL141,LEN(AL141)-1)&amp;"]"</f>
        <v>[4,3,3]</v>
      </c>
      <c r="AN141" s="47" t="str">
        <f>VLOOKUP(T141,物品id!$A:$B,2,FALSE)&amp;","</f>
        <v>102,</v>
      </c>
      <c r="AO141" s="17" t="str">
        <f t="shared" si="298"/>
        <v>[102]</v>
      </c>
      <c r="AP141" s="47" t="str">
        <f t="shared" si="293"/>
        <v>720,</v>
      </c>
      <c r="AQ141" s="17" t="str">
        <f t="shared" si="299"/>
        <v>[720]</v>
      </c>
      <c r="AR141" s="47" t="str">
        <f>IF(V141="","",VLOOKUP(V141,物品id!$A:$B,2,FALSE)&amp;",")</f>
        <v>20033,</v>
      </c>
      <c r="AS141" s="47" t="str">
        <f>IF(W141="","",VLOOKUP(W141,物品id!$A:$B,2,FALSE)&amp;",")</f>
        <v>102,</v>
      </c>
      <c r="AT141" s="47" t="str">
        <f t="shared" ref="AT141:AT142" si="328">AR141&amp;AS141</f>
        <v>20033,102,</v>
      </c>
      <c r="AU141" s="47" t="str">
        <f t="shared" ref="AU141:AU142" si="329">"["&amp;LEFT(AT141,LEN(AT141)-1)&amp;"]"</f>
        <v>[20033,102]</v>
      </c>
      <c r="AV141" s="47" t="str">
        <f t="shared" si="294"/>
        <v>4,</v>
      </c>
      <c r="AW141" s="47" t="str">
        <f t="shared" si="295"/>
        <v>4320,</v>
      </c>
      <c r="AX141" s="47" t="str">
        <f t="shared" ref="AX141:AX142" si="330">AV141&amp;AW141</f>
        <v>4,4320,</v>
      </c>
      <c r="AY141" s="47" t="str">
        <f t="shared" ref="AY141:AY142" si="331">"["&amp;LEFT(AX141,LEN(AX141)-1)&amp;"]"</f>
        <v>[4,4320]</v>
      </c>
    </row>
    <row r="142" spans="1:51" s="47" customFormat="1" x14ac:dyDescent="0.2">
      <c r="A142" s="47">
        <v>5</v>
      </c>
      <c r="B142" s="47" t="s">
        <v>1032</v>
      </c>
      <c r="C142" s="47">
        <v>46</v>
      </c>
      <c r="D142" s="34" t="s">
        <v>1151</v>
      </c>
      <c r="E142" s="47" t="s">
        <v>1017</v>
      </c>
      <c r="F142" s="47">
        <v>3</v>
      </c>
      <c r="G142" s="47" t="s">
        <v>827</v>
      </c>
      <c r="H142" s="47" t="s">
        <v>828</v>
      </c>
      <c r="I142" s="47" t="s">
        <v>829</v>
      </c>
      <c r="J142" s="17">
        <v>0.8</v>
      </c>
      <c r="K142" s="17">
        <v>0</v>
      </c>
      <c r="L142" s="17">
        <v>0</v>
      </c>
      <c r="M142" s="35">
        <f>(IF(G142="",挂机玩法规划!$L$2,VLOOKUP(G142,物品id!A:D,4,FALSE)*IF(J142=0,1,4))*IF(J142=0,1,J142)+IF(H142="",挂机玩法规划!$L$2,VLOOKUP(H142,物品id!A:D,4,FALSE)*IF(K142=0,1,4))*IF(K142=0,1,K142)+IF(I142="",挂机玩法规划!$L$2,VLOOKUP(I142,物品id!A:D,4,FALSE)*IF(L142=0,1,4))*IF(L142=0,1,L142))/O142</f>
        <v>0.43333333333333335</v>
      </c>
      <c r="N142" s="44">
        <f>IF(G142="",挂机玩法规划!$L$2,VLOOKUP(G142,物品id!A:D,4,FALSE)*4)+IF(H142="",挂机玩法规划!$L$2,VLOOKUP(H142,物品id!A:D,4,FALSE)*4)+IF(I142="",挂机玩法规划!$L$2,VLOOKUP(I142,物品id!A:D,4,FALSE)*4)</f>
        <v>360</v>
      </c>
      <c r="O142" s="48">
        <v>360</v>
      </c>
      <c r="P142" s="47">
        <v>4</v>
      </c>
      <c r="Q142" s="47">
        <v>3</v>
      </c>
      <c r="R142" s="47">
        <v>3</v>
      </c>
      <c r="S142" s="47">
        <v>720</v>
      </c>
      <c r="T142" s="47" t="s">
        <v>835</v>
      </c>
      <c r="U142" s="47">
        <v>720</v>
      </c>
      <c r="V142" s="47" t="s">
        <v>837</v>
      </c>
      <c r="W142" s="47" t="s">
        <v>200</v>
      </c>
      <c r="X142" s="47">
        <v>4</v>
      </c>
      <c r="Y142" s="47">
        <f>U142*挂机玩法规划!$O$4*VLOOKUP(E142,挂机玩法规划!$G$2:$I$17,3,FALSE)</f>
        <v>4320</v>
      </c>
      <c r="Z142" s="17">
        <f t="shared" si="296"/>
        <v>1.7333333333333334</v>
      </c>
      <c r="AA142" s="17">
        <f t="shared" si="297"/>
        <v>1872</v>
      </c>
      <c r="AB142" s="17">
        <f>(VLOOKUP(V142,物品id!A:E,5,FALSE)*挂机玩法填表!Z142+VLOOKUP(挂机玩法填表!W142,物品id!A:E,5,FALSE)*挂机玩法填表!AA142)/(U142/60)</f>
        <v>20.765333333333334</v>
      </c>
      <c r="AD142" s="17" t="str">
        <f>IF(G142="","",VLOOKUP(G142,物品id!$A:$B,2,FALSE)&amp;",")</f>
        <v>3311,</v>
      </c>
      <c r="AE142" s="17" t="str">
        <f>IF(H142="","",VLOOKUP(H142,物品id!$A:$B,2,FALSE)&amp;",")</f>
        <v>3321,</v>
      </c>
      <c r="AF142" s="17" t="str">
        <f>IF(I142="","",VLOOKUP(I142,物品id!$A:$B,2,FALSE)&amp;",")</f>
        <v>3331,</v>
      </c>
      <c r="AG142" s="47" t="str">
        <f t="shared" si="324"/>
        <v>3311,3321,3331,</v>
      </c>
      <c r="AH142" s="47" t="str">
        <f t="shared" si="325"/>
        <v>[3311,3321,3331]</v>
      </c>
      <c r="AI142" s="17" t="str">
        <f t="shared" si="290"/>
        <v>4,</v>
      </c>
      <c r="AJ142" s="17" t="str">
        <f t="shared" si="291"/>
        <v>3,</v>
      </c>
      <c r="AK142" s="17" t="str">
        <f t="shared" si="292"/>
        <v>3,</v>
      </c>
      <c r="AL142" s="47" t="str">
        <f t="shared" si="326"/>
        <v>4,3,3,</v>
      </c>
      <c r="AM142" s="47" t="str">
        <f t="shared" si="327"/>
        <v>[4,3,3]</v>
      </c>
      <c r="AN142" s="47" t="str">
        <f>VLOOKUP(T142,物品id!$A:$B,2,FALSE)&amp;","</f>
        <v>102,</v>
      </c>
      <c r="AO142" s="17" t="str">
        <f t="shared" si="298"/>
        <v>[102]</v>
      </c>
      <c r="AP142" s="47" t="str">
        <f t="shared" si="293"/>
        <v>720,</v>
      </c>
      <c r="AQ142" s="17" t="str">
        <f t="shared" si="299"/>
        <v>[720]</v>
      </c>
      <c r="AR142" s="47" t="str">
        <f>IF(V142="","",VLOOKUP(V142,物品id!$A:$B,2,FALSE)&amp;",")</f>
        <v>20033,</v>
      </c>
      <c r="AS142" s="47" t="str">
        <f>IF(W142="","",VLOOKUP(W142,物品id!$A:$B,2,FALSE)&amp;",")</f>
        <v>102,</v>
      </c>
      <c r="AT142" s="47" t="str">
        <f t="shared" si="328"/>
        <v>20033,102,</v>
      </c>
      <c r="AU142" s="47" t="str">
        <f t="shared" si="329"/>
        <v>[20033,102]</v>
      </c>
      <c r="AV142" s="47" t="str">
        <f t="shared" si="294"/>
        <v>4,</v>
      </c>
      <c r="AW142" s="47" t="str">
        <f t="shared" si="295"/>
        <v>4320,</v>
      </c>
      <c r="AX142" s="47" t="str">
        <f t="shared" si="330"/>
        <v>4,4320,</v>
      </c>
      <c r="AY142" s="47" t="str">
        <f t="shared" si="331"/>
        <v>[4,4320]</v>
      </c>
    </row>
    <row r="143" spans="1:51" s="47" customFormat="1" x14ac:dyDescent="0.2">
      <c r="A143" s="47">
        <v>6</v>
      </c>
      <c r="B143" s="47" t="s">
        <v>1032</v>
      </c>
      <c r="C143" s="47">
        <v>47</v>
      </c>
      <c r="D143" s="34" t="s">
        <v>1152</v>
      </c>
      <c r="E143" s="47" t="s">
        <v>1031</v>
      </c>
      <c r="F143" s="47">
        <v>3</v>
      </c>
      <c r="G143" s="47" t="s">
        <v>806</v>
      </c>
      <c r="H143" s="47" t="s">
        <v>807</v>
      </c>
      <c r="I143" s="47" t="s">
        <v>809</v>
      </c>
      <c r="J143" s="17">
        <v>0.8</v>
      </c>
      <c r="K143" s="17">
        <v>0</v>
      </c>
      <c r="L143" s="17">
        <v>0</v>
      </c>
      <c r="M143" s="35">
        <f>(IF(G143="",挂机玩法规划!$L$2,VLOOKUP(G143,物品id!A:D,4,FALSE)*IF(J143=0,1,4))*IF(J143=0,1,J143)+IF(H143="",挂机玩法规划!$L$2,VLOOKUP(H143,物品id!A:D,4,FALSE)*IF(K143=0,1,4))*IF(K143=0,1,K143)+IF(I143="",挂机玩法规划!$L$2,VLOOKUP(I143,物品id!A:D,4,FALSE)*IF(L143=0,1,4))*IF(L143=0,1,L143))/O143</f>
        <v>0.43333333333333335</v>
      </c>
      <c r="N143" s="44">
        <f>IF(G143="",挂机玩法规划!$L$2,VLOOKUP(G143,物品id!A:D,4,FALSE)*4)+IF(H143="",挂机玩法规划!$L$2,VLOOKUP(H143,物品id!A:D,4,FALSE)*4)+IF(I143="",挂机玩法规划!$L$2,VLOOKUP(I143,物品id!A:D,4,FALSE)*4)</f>
        <v>360</v>
      </c>
      <c r="O143" s="48">
        <v>360</v>
      </c>
      <c r="P143" s="47">
        <v>4</v>
      </c>
      <c r="Q143" s="47">
        <v>3</v>
      </c>
      <c r="R143" s="47">
        <v>3</v>
      </c>
      <c r="S143" s="47">
        <v>120</v>
      </c>
      <c r="T143" s="47" t="s">
        <v>835</v>
      </c>
      <c r="U143" s="47">
        <v>120</v>
      </c>
      <c r="V143" s="47" t="s">
        <v>837</v>
      </c>
      <c r="W143" s="47" t="s">
        <v>200</v>
      </c>
      <c r="X143" s="47">
        <v>1</v>
      </c>
      <c r="Y143" s="47">
        <f>U143*挂机玩法规划!$O$4*VLOOKUP(E143,挂机玩法规划!$G$2:$I$17,3,FALSE)</f>
        <v>720</v>
      </c>
      <c r="Z143" s="17">
        <f t="shared" si="296"/>
        <v>0.43333333333333335</v>
      </c>
      <c r="AA143" s="17">
        <f t="shared" si="297"/>
        <v>312</v>
      </c>
      <c r="AB143" s="17">
        <f>(VLOOKUP(V143,物品id!A:E,5,FALSE)*挂机玩法填表!Z143+VLOOKUP(挂机玩法填表!W143,物品id!A:E,5,FALSE)*挂机玩法填表!AA143)/(U143/60)</f>
        <v>29.431999999999999</v>
      </c>
      <c r="AD143" s="17" t="str">
        <f>IF(G143="","",VLOOKUP(G143,物品id!$A:$B,2,FALSE)&amp;",")</f>
        <v>1311,</v>
      </c>
      <c r="AE143" s="17" t="str">
        <f>IF(H143="","",VLOOKUP(H143,物品id!$A:$B,2,FALSE)&amp;",")</f>
        <v>1321,</v>
      </c>
      <c r="AF143" s="17" t="str">
        <f>IF(I143="","",VLOOKUP(I143,物品id!$A:$B,2,FALSE)&amp;",")</f>
        <v>1341,</v>
      </c>
      <c r="AG143" s="47" t="str">
        <f t="shared" si="42"/>
        <v>1311,1321,1341,</v>
      </c>
      <c r="AH143" s="47" t="str">
        <f t="shared" si="43"/>
        <v>[1311,1321,1341]</v>
      </c>
      <c r="AI143" s="17" t="str">
        <f t="shared" si="290"/>
        <v>4,</v>
      </c>
      <c r="AJ143" s="17" t="str">
        <f t="shared" si="291"/>
        <v>3,</v>
      </c>
      <c r="AK143" s="17" t="str">
        <f t="shared" si="292"/>
        <v>3,</v>
      </c>
      <c r="AL143" s="47" t="str">
        <f t="shared" si="44"/>
        <v>4,3,3,</v>
      </c>
      <c r="AM143" s="47" t="str">
        <f t="shared" si="45"/>
        <v>[4,3,3]</v>
      </c>
      <c r="AN143" s="47" t="str">
        <f>VLOOKUP(T143,物品id!$A:$B,2,FALSE)&amp;","</f>
        <v>102,</v>
      </c>
      <c r="AO143" s="17" t="str">
        <f t="shared" si="298"/>
        <v>[102]</v>
      </c>
      <c r="AP143" s="47" t="str">
        <f t="shared" si="293"/>
        <v>120,</v>
      </c>
      <c r="AQ143" s="17" t="str">
        <f t="shared" si="299"/>
        <v>[120]</v>
      </c>
      <c r="AR143" s="47" t="str">
        <f>IF(V143="","",VLOOKUP(V143,物品id!$A:$B,2,FALSE)&amp;",")</f>
        <v>20033,</v>
      </c>
      <c r="AS143" s="47" t="str">
        <f>IF(W143="","",VLOOKUP(W143,物品id!$A:$B,2,FALSE)&amp;",")</f>
        <v>102,</v>
      </c>
      <c r="AT143" s="47" t="str">
        <f t="shared" si="46"/>
        <v>20033,102,</v>
      </c>
      <c r="AU143" s="47" t="str">
        <f t="shared" si="47"/>
        <v>[20033,102]</v>
      </c>
      <c r="AV143" s="47" t="str">
        <f t="shared" si="294"/>
        <v>1,</v>
      </c>
      <c r="AW143" s="47" t="str">
        <f t="shared" si="295"/>
        <v>720,</v>
      </c>
      <c r="AX143" s="47" t="str">
        <f t="shared" si="48"/>
        <v>1,720,</v>
      </c>
      <c r="AY143" s="47" t="str">
        <f t="shared" si="49"/>
        <v>[1,720]</v>
      </c>
    </row>
    <row r="144" spans="1:51" s="47" customFormat="1" x14ac:dyDescent="0.2">
      <c r="A144" s="47">
        <v>6</v>
      </c>
      <c r="B144" s="47" t="s">
        <v>1032</v>
      </c>
      <c r="C144" s="47">
        <v>47</v>
      </c>
      <c r="D144" s="34" t="s">
        <v>1152</v>
      </c>
      <c r="E144" s="47" t="s">
        <v>1017</v>
      </c>
      <c r="F144" s="47">
        <v>3</v>
      </c>
      <c r="G144" s="47" t="s">
        <v>817</v>
      </c>
      <c r="H144" s="47" t="s">
        <v>818</v>
      </c>
      <c r="I144" s="47" t="s">
        <v>221</v>
      </c>
      <c r="J144" s="17">
        <v>0.8</v>
      </c>
      <c r="K144" s="17">
        <v>0</v>
      </c>
      <c r="L144" s="17">
        <v>0</v>
      </c>
      <c r="M144" s="35">
        <f>(IF(G144="",挂机玩法规划!$L$2,VLOOKUP(G144,物品id!A:D,4,FALSE)*IF(J144=0,1,4))*IF(J144=0,1,J144)+IF(H144="",挂机玩法规划!$L$2,VLOOKUP(H144,物品id!A:D,4,FALSE)*IF(K144=0,1,4))*IF(K144=0,1,K144)+IF(I144="",挂机玩法规划!$L$2,VLOOKUP(I144,物品id!A:D,4,FALSE)*IF(L144=0,1,4))*IF(L144=0,1,L144))/O144</f>
        <v>0.43333333333333335</v>
      </c>
      <c r="N144" s="44">
        <f>IF(G144="",挂机玩法规划!$L$2,VLOOKUP(G144,物品id!A:D,4,FALSE)*4)+IF(H144="",挂机玩法规划!$L$2,VLOOKUP(H144,物品id!A:D,4,FALSE)*4)+IF(I144="",挂机玩法规划!$L$2,VLOOKUP(I144,物品id!A:D,4,FALSE)*4)</f>
        <v>360</v>
      </c>
      <c r="O144" s="48">
        <v>360</v>
      </c>
      <c r="P144" s="47">
        <v>4</v>
      </c>
      <c r="Q144" s="47">
        <v>3</v>
      </c>
      <c r="R144" s="47">
        <v>3</v>
      </c>
      <c r="S144" s="47">
        <v>120</v>
      </c>
      <c r="T144" s="47" t="s">
        <v>835</v>
      </c>
      <c r="U144" s="47">
        <v>120</v>
      </c>
      <c r="V144" s="47" t="s">
        <v>837</v>
      </c>
      <c r="W144" s="47" t="s">
        <v>200</v>
      </c>
      <c r="X144" s="47">
        <v>1</v>
      </c>
      <c r="Y144" s="47">
        <f>U144*挂机玩法规划!$O$4*VLOOKUP(E144,挂机玩法规划!$G$2:$I$17,3,FALSE)</f>
        <v>720</v>
      </c>
      <c r="Z144" s="17">
        <f t="shared" si="296"/>
        <v>0.43333333333333335</v>
      </c>
      <c r="AA144" s="17">
        <f t="shared" si="297"/>
        <v>312</v>
      </c>
      <c r="AB144" s="17">
        <f>(VLOOKUP(V144,物品id!A:E,5,FALSE)*挂机玩法填表!Z144+VLOOKUP(挂机玩法填表!W144,物品id!A:E,5,FALSE)*挂机玩法填表!AA144)/(U144/60)</f>
        <v>29.431999999999999</v>
      </c>
      <c r="AD144" s="17" t="str">
        <f>IF(G144="","",VLOOKUP(G144,物品id!$A:$B,2,FALSE)&amp;",")</f>
        <v>2311,</v>
      </c>
      <c r="AE144" s="17" t="str">
        <f>IF(H144="","",VLOOKUP(H144,物品id!$A:$B,2,FALSE)&amp;",")</f>
        <v>2321,</v>
      </c>
      <c r="AF144" s="17" t="str">
        <f>IF(I144="","",VLOOKUP(I144,物品id!$A:$B,2,FALSE)&amp;",")</f>
        <v>2341,</v>
      </c>
      <c r="AG144" s="47" t="str">
        <f t="shared" ref="AG144:AG145" si="332">AD144&amp;AE144&amp;AF144</f>
        <v>2311,2321,2341,</v>
      </c>
      <c r="AH144" s="47" t="str">
        <f t="shared" ref="AH144:AH145" si="333">"["&amp;LEFT(AG144,LEN(AG144)-1)&amp;"]"</f>
        <v>[2311,2321,2341]</v>
      </c>
      <c r="AI144" s="17" t="str">
        <f t="shared" si="290"/>
        <v>4,</v>
      </c>
      <c r="AJ144" s="17" t="str">
        <f t="shared" si="291"/>
        <v>3,</v>
      </c>
      <c r="AK144" s="17" t="str">
        <f t="shared" si="292"/>
        <v>3,</v>
      </c>
      <c r="AL144" s="47" t="str">
        <f t="shared" ref="AL144:AL145" si="334">AI144&amp;AJ144&amp;AK144</f>
        <v>4,3,3,</v>
      </c>
      <c r="AM144" s="47" t="str">
        <f t="shared" ref="AM144:AM145" si="335">"["&amp;LEFT(AL144,LEN(AL144)-1)&amp;"]"</f>
        <v>[4,3,3]</v>
      </c>
      <c r="AN144" s="47" t="str">
        <f>VLOOKUP(T144,物品id!$A:$B,2,FALSE)&amp;","</f>
        <v>102,</v>
      </c>
      <c r="AO144" s="17" t="str">
        <f t="shared" si="298"/>
        <v>[102]</v>
      </c>
      <c r="AP144" s="47" t="str">
        <f t="shared" si="293"/>
        <v>120,</v>
      </c>
      <c r="AQ144" s="17" t="str">
        <f t="shared" si="299"/>
        <v>[120]</v>
      </c>
      <c r="AR144" s="47" t="str">
        <f>IF(V144="","",VLOOKUP(V144,物品id!$A:$B,2,FALSE)&amp;",")</f>
        <v>20033,</v>
      </c>
      <c r="AS144" s="47" t="str">
        <f>IF(W144="","",VLOOKUP(W144,物品id!$A:$B,2,FALSE)&amp;",")</f>
        <v>102,</v>
      </c>
      <c r="AT144" s="47" t="str">
        <f t="shared" ref="AT144:AT145" si="336">AR144&amp;AS144</f>
        <v>20033,102,</v>
      </c>
      <c r="AU144" s="47" t="str">
        <f t="shared" ref="AU144:AU145" si="337">"["&amp;LEFT(AT144,LEN(AT144)-1)&amp;"]"</f>
        <v>[20033,102]</v>
      </c>
      <c r="AV144" s="47" t="str">
        <f t="shared" si="294"/>
        <v>1,</v>
      </c>
      <c r="AW144" s="47" t="str">
        <f t="shared" si="295"/>
        <v>720,</v>
      </c>
      <c r="AX144" s="47" t="str">
        <f t="shared" ref="AX144:AX145" si="338">AV144&amp;AW144</f>
        <v>1,720,</v>
      </c>
      <c r="AY144" s="47" t="str">
        <f t="shared" ref="AY144:AY145" si="339">"["&amp;LEFT(AX144,LEN(AX144)-1)&amp;"]"</f>
        <v>[1,720]</v>
      </c>
    </row>
    <row r="145" spans="1:51" s="47" customFormat="1" x14ac:dyDescent="0.2">
      <c r="A145" s="47">
        <v>6</v>
      </c>
      <c r="B145" s="47" t="s">
        <v>1032</v>
      </c>
      <c r="C145" s="47">
        <v>47</v>
      </c>
      <c r="D145" s="34" t="s">
        <v>1152</v>
      </c>
      <c r="E145" s="47" t="s">
        <v>1017</v>
      </c>
      <c r="F145" s="47">
        <v>3</v>
      </c>
      <c r="G145" s="47" t="s">
        <v>827</v>
      </c>
      <c r="H145" s="47" t="s">
        <v>828</v>
      </c>
      <c r="I145" s="47" t="s">
        <v>830</v>
      </c>
      <c r="J145" s="17">
        <v>0.8</v>
      </c>
      <c r="K145" s="17">
        <v>0</v>
      </c>
      <c r="L145" s="17">
        <v>0</v>
      </c>
      <c r="M145" s="35">
        <f>(IF(G145="",挂机玩法规划!$L$2,VLOOKUP(G145,物品id!A:D,4,FALSE)*IF(J145=0,1,4))*IF(J145=0,1,J145)+IF(H145="",挂机玩法规划!$L$2,VLOOKUP(H145,物品id!A:D,4,FALSE)*IF(K145=0,1,4))*IF(K145=0,1,K145)+IF(I145="",挂机玩法规划!$L$2,VLOOKUP(I145,物品id!A:D,4,FALSE)*IF(L145=0,1,4))*IF(L145=0,1,L145))/O145</f>
        <v>0.43333333333333335</v>
      </c>
      <c r="N145" s="44">
        <f>IF(G145="",挂机玩法规划!$L$2,VLOOKUP(G145,物品id!A:D,4,FALSE)*4)+IF(H145="",挂机玩法规划!$L$2,VLOOKUP(H145,物品id!A:D,4,FALSE)*4)+IF(I145="",挂机玩法规划!$L$2,VLOOKUP(I145,物品id!A:D,4,FALSE)*4)</f>
        <v>360</v>
      </c>
      <c r="O145" s="48">
        <v>360</v>
      </c>
      <c r="P145" s="47">
        <v>4</v>
      </c>
      <c r="Q145" s="47">
        <v>3</v>
      </c>
      <c r="R145" s="47">
        <v>3</v>
      </c>
      <c r="S145" s="47">
        <v>120</v>
      </c>
      <c r="T145" s="47" t="s">
        <v>835</v>
      </c>
      <c r="U145" s="47">
        <v>120</v>
      </c>
      <c r="V145" s="47" t="s">
        <v>837</v>
      </c>
      <c r="W145" s="47" t="s">
        <v>200</v>
      </c>
      <c r="X145" s="47">
        <v>1</v>
      </c>
      <c r="Y145" s="47">
        <f>U145*挂机玩法规划!$O$4*VLOOKUP(E145,挂机玩法规划!$G$2:$I$17,3,FALSE)</f>
        <v>720</v>
      </c>
      <c r="Z145" s="17">
        <f t="shared" si="296"/>
        <v>0.43333333333333335</v>
      </c>
      <c r="AA145" s="17">
        <f t="shared" si="297"/>
        <v>312</v>
      </c>
      <c r="AB145" s="17">
        <f>(VLOOKUP(V145,物品id!A:E,5,FALSE)*挂机玩法填表!Z145+VLOOKUP(挂机玩法填表!W145,物品id!A:E,5,FALSE)*挂机玩法填表!AA145)/(U145/60)</f>
        <v>29.431999999999999</v>
      </c>
      <c r="AD145" s="17" t="str">
        <f>IF(G145="","",VLOOKUP(G145,物品id!$A:$B,2,FALSE)&amp;",")</f>
        <v>3311,</v>
      </c>
      <c r="AE145" s="17" t="str">
        <f>IF(H145="","",VLOOKUP(H145,物品id!$A:$B,2,FALSE)&amp;",")</f>
        <v>3321,</v>
      </c>
      <c r="AF145" s="17" t="str">
        <f>IF(I145="","",VLOOKUP(I145,物品id!$A:$B,2,FALSE)&amp;",")</f>
        <v>3341,</v>
      </c>
      <c r="AG145" s="47" t="str">
        <f t="shared" si="332"/>
        <v>3311,3321,3341,</v>
      </c>
      <c r="AH145" s="47" t="str">
        <f t="shared" si="333"/>
        <v>[3311,3321,3341]</v>
      </c>
      <c r="AI145" s="17" t="str">
        <f t="shared" si="290"/>
        <v>4,</v>
      </c>
      <c r="AJ145" s="17" t="str">
        <f t="shared" si="291"/>
        <v>3,</v>
      </c>
      <c r="AK145" s="17" t="str">
        <f t="shared" si="292"/>
        <v>3,</v>
      </c>
      <c r="AL145" s="47" t="str">
        <f t="shared" si="334"/>
        <v>4,3,3,</v>
      </c>
      <c r="AM145" s="47" t="str">
        <f t="shared" si="335"/>
        <v>[4,3,3]</v>
      </c>
      <c r="AN145" s="47" t="str">
        <f>VLOOKUP(T145,物品id!$A:$B,2,FALSE)&amp;","</f>
        <v>102,</v>
      </c>
      <c r="AO145" s="17" t="str">
        <f t="shared" si="298"/>
        <v>[102]</v>
      </c>
      <c r="AP145" s="47" t="str">
        <f t="shared" si="293"/>
        <v>120,</v>
      </c>
      <c r="AQ145" s="17" t="str">
        <f t="shared" si="299"/>
        <v>[120]</v>
      </c>
      <c r="AR145" s="47" t="str">
        <f>IF(V145="","",VLOOKUP(V145,物品id!$A:$B,2,FALSE)&amp;",")</f>
        <v>20033,</v>
      </c>
      <c r="AS145" s="47" t="str">
        <f>IF(W145="","",VLOOKUP(W145,物品id!$A:$B,2,FALSE)&amp;",")</f>
        <v>102,</v>
      </c>
      <c r="AT145" s="47" t="str">
        <f t="shared" si="336"/>
        <v>20033,102,</v>
      </c>
      <c r="AU145" s="47" t="str">
        <f t="shared" si="337"/>
        <v>[20033,102]</v>
      </c>
      <c r="AV145" s="47" t="str">
        <f t="shared" si="294"/>
        <v>1,</v>
      </c>
      <c r="AW145" s="47" t="str">
        <f t="shared" si="295"/>
        <v>720,</v>
      </c>
      <c r="AX145" s="47" t="str">
        <f t="shared" si="338"/>
        <v>1,720,</v>
      </c>
      <c r="AY145" s="47" t="str">
        <f t="shared" si="339"/>
        <v>[1,720]</v>
      </c>
    </row>
    <row r="146" spans="1:51" s="47" customFormat="1" x14ac:dyDescent="0.2">
      <c r="A146" s="47">
        <v>6</v>
      </c>
      <c r="B146" s="47" t="s">
        <v>1032</v>
      </c>
      <c r="C146" s="47">
        <v>47</v>
      </c>
      <c r="D146" s="34" t="s">
        <v>1152</v>
      </c>
      <c r="E146" s="47" t="s">
        <v>1031</v>
      </c>
      <c r="F146" s="47">
        <v>3</v>
      </c>
      <c r="G146" s="47" t="s">
        <v>806</v>
      </c>
      <c r="H146" s="47" t="s">
        <v>807</v>
      </c>
      <c r="I146" s="47" t="s">
        <v>809</v>
      </c>
      <c r="J146" s="17">
        <v>0.8</v>
      </c>
      <c r="K146" s="17">
        <v>0</v>
      </c>
      <c r="L146" s="17">
        <v>0</v>
      </c>
      <c r="M146" s="35">
        <f>(IF(G146="",挂机玩法规划!$L$2,VLOOKUP(G146,物品id!A:D,4,FALSE)*IF(J146=0,1,4))*IF(J146=0,1,J146)+IF(H146="",挂机玩法规划!$L$2,VLOOKUP(H146,物品id!A:D,4,FALSE)*IF(K146=0,1,4))*IF(K146=0,1,K146)+IF(I146="",挂机玩法规划!$L$2,VLOOKUP(I146,物品id!A:D,4,FALSE)*IF(L146=0,1,4))*IF(L146=0,1,L146))/O146</f>
        <v>0.43333333333333335</v>
      </c>
      <c r="N146" s="44">
        <f>IF(G146="",挂机玩法规划!$L$2,VLOOKUP(G146,物品id!A:D,4,FALSE)*4)+IF(H146="",挂机玩法规划!$L$2,VLOOKUP(H146,物品id!A:D,4,FALSE)*4)+IF(I146="",挂机玩法规划!$L$2,VLOOKUP(I146,物品id!A:D,4,FALSE)*4)</f>
        <v>360</v>
      </c>
      <c r="O146" s="48">
        <v>360</v>
      </c>
      <c r="P146" s="47">
        <v>4</v>
      </c>
      <c r="Q146" s="47">
        <v>3</v>
      </c>
      <c r="R146" s="47">
        <v>3</v>
      </c>
      <c r="S146" s="47">
        <v>240</v>
      </c>
      <c r="T146" s="47" t="s">
        <v>835</v>
      </c>
      <c r="U146" s="47">
        <v>240</v>
      </c>
      <c r="V146" s="47" t="s">
        <v>837</v>
      </c>
      <c r="W146" s="47" t="s">
        <v>200</v>
      </c>
      <c r="X146" s="47">
        <v>2</v>
      </c>
      <c r="Y146" s="47">
        <f>U146*挂机玩法规划!$O$4*VLOOKUP(E146,挂机玩法规划!$G$2:$I$17,3,FALSE)</f>
        <v>1440</v>
      </c>
      <c r="Z146" s="17">
        <f t="shared" si="296"/>
        <v>0.8666666666666667</v>
      </c>
      <c r="AA146" s="17">
        <f t="shared" si="297"/>
        <v>624</v>
      </c>
      <c r="AB146" s="17">
        <f>(VLOOKUP(V146,物品id!A:E,5,FALSE)*挂机玩法填表!Z146+VLOOKUP(挂机玩法填表!W146,物品id!A:E,5,FALSE)*挂机玩法填表!AA146)/(U146/60)</f>
        <v>29.431999999999999</v>
      </c>
      <c r="AD146" s="17" t="str">
        <f>IF(G146="","",VLOOKUP(G146,物品id!$A:$B,2,FALSE)&amp;",")</f>
        <v>1311,</v>
      </c>
      <c r="AE146" s="17" t="str">
        <f>IF(H146="","",VLOOKUP(H146,物品id!$A:$B,2,FALSE)&amp;",")</f>
        <v>1321,</v>
      </c>
      <c r="AF146" s="17" t="str">
        <f>IF(I146="","",VLOOKUP(I146,物品id!$A:$B,2,FALSE)&amp;",")</f>
        <v>1341,</v>
      </c>
      <c r="AG146" s="47" t="str">
        <f t="shared" si="42"/>
        <v>1311,1321,1341,</v>
      </c>
      <c r="AH146" s="47" t="str">
        <f t="shared" si="43"/>
        <v>[1311,1321,1341]</v>
      </c>
      <c r="AI146" s="17" t="str">
        <f t="shared" si="290"/>
        <v>4,</v>
      </c>
      <c r="AJ146" s="17" t="str">
        <f t="shared" si="291"/>
        <v>3,</v>
      </c>
      <c r="AK146" s="17" t="str">
        <f t="shared" si="292"/>
        <v>3,</v>
      </c>
      <c r="AL146" s="47" t="str">
        <f t="shared" si="44"/>
        <v>4,3,3,</v>
      </c>
      <c r="AM146" s="47" t="str">
        <f t="shared" si="45"/>
        <v>[4,3,3]</v>
      </c>
      <c r="AN146" s="47" t="str">
        <f>VLOOKUP(T146,物品id!$A:$B,2,FALSE)&amp;","</f>
        <v>102,</v>
      </c>
      <c r="AO146" s="17" t="str">
        <f t="shared" si="298"/>
        <v>[102]</v>
      </c>
      <c r="AP146" s="47" t="str">
        <f t="shared" si="293"/>
        <v>240,</v>
      </c>
      <c r="AQ146" s="17" t="str">
        <f t="shared" si="299"/>
        <v>[240]</v>
      </c>
      <c r="AR146" s="47" t="str">
        <f>IF(V146="","",VLOOKUP(V146,物品id!$A:$B,2,FALSE)&amp;",")</f>
        <v>20033,</v>
      </c>
      <c r="AS146" s="47" t="str">
        <f>IF(W146="","",VLOOKUP(W146,物品id!$A:$B,2,FALSE)&amp;",")</f>
        <v>102,</v>
      </c>
      <c r="AT146" s="47" t="str">
        <f t="shared" si="46"/>
        <v>20033,102,</v>
      </c>
      <c r="AU146" s="47" t="str">
        <f t="shared" si="47"/>
        <v>[20033,102]</v>
      </c>
      <c r="AV146" s="47" t="str">
        <f t="shared" si="294"/>
        <v>2,</v>
      </c>
      <c r="AW146" s="47" t="str">
        <f t="shared" si="295"/>
        <v>1440,</v>
      </c>
      <c r="AX146" s="47" t="str">
        <f t="shared" si="48"/>
        <v>2,1440,</v>
      </c>
      <c r="AY146" s="47" t="str">
        <f t="shared" si="49"/>
        <v>[2,1440]</v>
      </c>
    </row>
    <row r="147" spans="1:51" s="47" customFormat="1" x14ac:dyDescent="0.2">
      <c r="A147" s="47">
        <v>6</v>
      </c>
      <c r="B147" s="47" t="s">
        <v>1032</v>
      </c>
      <c r="C147" s="47">
        <v>47</v>
      </c>
      <c r="D147" s="34" t="s">
        <v>1152</v>
      </c>
      <c r="E147" s="47" t="s">
        <v>1017</v>
      </c>
      <c r="F147" s="47">
        <v>3</v>
      </c>
      <c r="G147" s="47" t="s">
        <v>817</v>
      </c>
      <c r="H147" s="47" t="s">
        <v>818</v>
      </c>
      <c r="I147" s="47" t="s">
        <v>221</v>
      </c>
      <c r="J147" s="17">
        <v>0.8</v>
      </c>
      <c r="K147" s="17">
        <v>0</v>
      </c>
      <c r="L147" s="17">
        <v>0</v>
      </c>
      <c r="M147" s="35">
        <f>(IF(G147="",挂机玩法规划!$L$2,VLOOKUP(G147,物品id!A:D,4,FALSE)*IF(J147=0,1,4))*IF(J147=0,1,J147)+IF(H147="",挂机玩法规划!$L$2,VLOOKUP(H147,物品id!A:D,4,FALSE)*IF(K147=0,1,4))*IF(K147=0,1,K147)+IF(I147="",挂机玩法规划!$L$2,VLOOKUP(I147,物品id!A:D,4,FALSE)*IF(L147=0,1,4))*IF(L147=0,1,L147))/O147</f>
        <v>0.43333333333333335</v>
      </c>
      <c r="N147" s="44">
        <f>IF(G147="",挂机玩法规划!$L$2,VLOOKUP(G147,物品id!A:D,4,FALSE)*4)+IF(H147="",挂机玩法规划!$L$2,VLOOKUP(H147,物品id!A:D,4,FALSE)*4)+IF(I147="",挂机玩法规划!$L$2,VLOOKUP(I147,物品id!A:D,4,FALSE)*4)</f>
        <v>360</v>
      </c>
      <c r="O147" s="48">
        <v>360</v>
      </c>
      <c r="P147" s="47">
        <v>4</v>
      </c>
      <c r="Q147" s="47">
        <v>3</v>
      </c>
      <c r="R147" s="47">
        <v>3</v>
      </c>
      <c r="S147" s="47">
        <v>240</v>
      </c>
      <c r="T147" s="47" t="s">
        <v>835</v>
      </c>
      <c r="U147" s="47">
        <v>240</v>
      </c>
      <c r="V147" s="47" t="s">
        <v>837</v>
      </c>
      <c r="W147" s="47" t="s">
        <v>200</v>
      </c>
      <c r="X147" s="47">
        <v>2</v>
      </c>
      <c r="Y147" s="47">
        <f>U147*挂机玩法规划!$O$4*VLOOKUP(E147,挂机玩法规划!$G$2:$I$17,3,FALSE)</f>
        <v>1440</v>
      </c>
      <c r="Z147" s="17">
        <f t="shared" si="296"/>
        <v>0.8666666666666667</v>
      </c>
      <c r="AA147" s="17">
        <f t="shared" si="297"/>
        <v>624</v>
      </c>
      <c r="AB147" s="17">
        <f>(VLOOKUP(V147,物品id!A:E,5,FALSE)*挂机玩法填表!Z147+VLOOKUP(挂机玩法填表!W147,物品id!A:E,5,FALSE)*挂机玩法填表!AA147)/(U147/60)</f>
        <v>29.431999999999999</v>
      </c>
      <c r="AD147" s="17" t="str">
        <f>IF(G147="","",VLOOKUP(G147,物品id!$A:$B,2,FALSE)&amp;",")</f>
        <v>2311,</v>
      </c>
      <c r="AE147" s="17" t="str">
        <f>IF(H147="","",VLOOKUP(H147,物品id!$A:$B,2,FALSE)&amp;",")</f>
        <v>2321,</v>
      </c>
      <c r="AF147" s="17" t="str">
        <f>IF(I147="","",VLOOKUP(I147,物品id!$A:$B,2,FALSE)&amp;",")</f>
        <v>2341,</v>
      </c>
      <c r="AG147" s="47" t="str">
        <f t="shared" ref="AG147:AG148" si="340">AD147&amp;AE147&amp;AF147</f>
        <v>2311,2321,2341,</v>
      </c>
      <c r="AH147" s="47" t="str">
        <f t="shared" ref="AH147:AH148" si="341">"["&amp;LEFT(AG147,LEN(AG147)-1)&amp;"]"</f>
        <v>[2311,2321,2341]</v>
      </c>
      <c r="AI147" s="17" t="str">
        <f t="shared" si="290"/>
        <v>4,</v>
      </c>
      <c r="AJ147" s="17" t="str">
        <f t="shared" si="291"/>
        <v>3,</v>
      </c>
      <c r="AK147" s="17" t="str">
        <f t="shared" si="292"/>
        <v>3,</v>
      </c>
      <c r="AL147" s="47" t="str">
        <f t="shared" ref="AL147:AL148" si="342">AI147&amp;AJ147&amp;AK147</f>
        <v>4,3,3,</v>
      </c>
      <c r="AM147" s="47" t="str">
        <f t="shared" ref="AM147:AM148" si="343">"["&amp;LEFT(AL147,LEN(AL147)-1)&amp;"]"</f>
        <v>[4,3,3]</v>
      </c>
      <c r="AN147" s="47" t="str">
        <f>VLOOKUP(T147,物品id!$A:$B,2,FALSE)&amp;","</f>
        <v>102,</v>
      </c>
      <c r="AO147" s="17" t="str">
        <f t="shared" si="298"/>
        <v>[102]</v>
      </c>
      <c r="AP147" s="47" t="str">
        <f t="shared" si="293"/>
        <v>240,</v>
      </c>
      <c r="AQ147" s="17" t="str">
        <f t="shared" si="299"/>
        <v>[240]</v>
      </c>
      <c r="AR147" s="47" t="str">
        <f>IF(V147="","",VLOOKUP(V147,物品id!$A:$B,2,FALSE)&amp;",")</f>
        <v>20033,</v>
      </c>
      <c r="AS147" s="47" t="str">
        <f>IF(W147="","",VLOOKUP(W147,物品id!$A:$B,2,FALSE)&amp;",")</f>
        <v>102,</v>
      </c>
      <c r="AT147" s="47" t="str">
        <f t="shared" ref="AT147:AT148" si="344">AR147&amp;AS147</f>
        <v>20033,102,</v>
      </c>
      <c r="AU147" s="47" t="str">
        <f t="shared" ref="AU147:AU148" si="345">"["&amp;LEFT(AT147,LEN(AT147)-1)&amp;"]"</f>
        <v>[20033,102]</v>
      </c>
      <c r="AV147" s="47" t="str">
        <f t="shared" si="294"/>
        <v>2,</v>
      </c>
      <c r="AW147" s="47" t="str">
        <f t="shared" si="295"/>
        <v>1440,</v>
      </c>
      <c r="AX147" s="47" t="str">
        <f t="shared" ref="AX147:AX148" si="346">AV147&amp;AW147</f>
        <v>2,1440,</v>
      </c>
      <c r="AY147" s="47" t="str">
        <f t="shared" ref="AY147:AY148" si="347">"["&amp;LEFT(AX147,LEN(AX147)-1)&amp;"]"</f>
        <v>[2,1440]</v>
      </c>
    </row>
    <row r="148" spans="1:51" s="47" customFormat="1" x14ac:dyDescent="0.2">
      <c r="A148" s="47">
        <v>6</v>
      </c>
      <c r="B148" s="47" t="s">
        <v>1032</v>
      </c>
      <c r="C148" s="47">
        <v>47</v>
      </c>
      <c r="D148" s="34" t="s">
        <v>1152</v>
      </c>
      <c r="E148" s="47" t="s">
        <v>1017</v>
      </c>
      <c r="F148" s="47">
        <v>3</v>
      </c>
      <c r="G148" s="47" t="s">
        <v>827</v>
      </c>
      <c r="H148" s="47" t="s">
        <v>828</v>
      </c>
      <c r="I148" s="47" t="s">
        <v>830</v>
      </c>
      <c r="J148" s="17">
        <v>0.8</v>
      </c>
      <c r="K148" s="17">
        <v>0</v>
      </c>
      <c r="L148" s="17">
        <v>0</v>
      </c>
      <c r="M148" s="35">
        <f>(IF(G148="",挂机玩法规划!$L$2,VLOOKUP(G148,物品id!A:D,4,FALSE)*IF(J148=0,1,4))*IF(J148=0,1,J148)+IF(H148="",挂机玩法规划!$L$2,VLOOKUP(H148,物品id!A:D,4,FALSE)*IF(K148=0,1,4))*IF(K148=0,1,K148)+IF(I148="",挂机玩法规划!$L$2,VLOOKUP(I148,物品id!A:D,4,FALSE)*IF(L148=0,1,4))*IF(L148=0,1,L148))/O148</f>
        <v>0.43333333333333335</v>
      </c>
      <c r="N148" s="44">
        <f>IF(G148="",挂机玩法规划!$L$2,VLOOKUP(G148,物品id!A:D,4,FALSE)*4)+IF(H148="",挂机玩法规划!$L$2,VLOOKUP(H148,物品id!A:D,4,FALSE)*4)+IF(I148="",挂机玩法规划!$L$2,VLOOKUP(I148,物品id!A:D,4,FALSE)*4)</f>
        <v>360</v>
      </c>
      <c r="O148" s="48">
        <v>360</v>
      </c>
      <c r="P148" s="47">
        <v>4</v>
      </c>
      <c r="Q148" s="47">
        <v>3</v>
      </c>
      <c r="R148" s="47">
        <v>3</v>
      </c>
      <c r="S148" s="47">
        <v>240</v>
      </c>
      <c r="T148" s="47" t="s">
        <v>835</v>
      </c>
      <c r="U148" s="47">
        <v>240</v>
      </c>
      <c r="V148" s="47" t="s">
        <v>837</v>
      </c>
      <c r="W148" s="47" t="s">
        <v>200</v>
      </c>
      <c r="X148" s="47">
        <v>2</v>
      </c>
      <c r="Y148" s="47">
        <f>U148*挂机玩法规划!$O$4*VLOOKUP(E148,挂机玩法规划!$G$2:$I$17,3,FALSE)</f>
        <v>1440</v>
      </c>
      <c r="Z148" s="17">
        <f t="shared" si="296"/>
        <v>0.8666666666666667</v>
      </c>
      <c r="AA148" s="17">
        <f t="shared" si="297"/>
        <v>624</v>
      </c>
      <c r="AB148" s="17">
        <f>(VLOOKUP(V148,物品id!A:E,5,FALSE)*挂机玩法填表!Z148+VLOOKUP(挂机玩法填表!W148,物品id!A:E,5,FALSE)*挂机玩法填表!AA148)/(U148/60)</f>
        <v>29.431999999999999</v>
      </c>
      <c r="AD148" s="17" t="str">
        <f>IF(G148="","",VLOOKUP(G148,物品id!$A:$B,2,FALSE)&amp;",")</f>
        <v>3311,</v>
      </c>
      <c r="AE148" s="17" t="str">
        <f>IF(H148="","",VLOOKUP(H148,物品id!$A:$B,2,FALSE)&amp;",")</f>
        <v>3321,</v>
      </c>
      <c r="AF148" s="17" t="str">
        <f>IF(I148="","",VLOOKUP(I148,物品id!$A:$B,2,FALSE)&amp;",")</f>
        <v>3341,</v>
      </c>
      <c r="AG148" s="47" t="str">
        <f t="shared" si="340"/>
        <v>3311,3321,3341,</v>
      </c>
      <c r="AH148" s="47" t="str">
        <f t="shared" si="341"/>
        <v>[3311,3321,3341]</v>
      </c>
      <c r="AI148" s="17" t="str">
        <f t="shared" si="290"/>
        <v>4,</v>
      </c>
      <c r="AJ148" s="17" t="str">
        <f t="shared" si="291"/>
        <v>3,</v>
      </c>
      <c r="AK148" s="17" t="str">
        <f t="shared" si="292"/>
        <v>3,</v>
      </c>
      <c r="AL148" s="47" t="str">
        <f t="shared" si="342"/>
        <v>4,3,3,</v>
      </c>
      <c r="AM148" s="47" t="str">
        <f t="shared" si="343"/>
        <v>[4,3,3]</v>
      </c>
      <c r="AN148" s="47" t="str">
        <f>VLOOKUP(T148,物品id!$A:$B,2,FALSE)&amp;","</f>
        <v>102,</v>
      </c>
      <c r="AO148" s="17" t="str">
        <f t="shared" si="298"/>
        <v>[102]</v>
      </c>
      <c r="AP148" s="47" t="str">
        <f t="shared" si="293"/>
        <v>240,</v>
      </c>
      <c r="AQ148" s="17" t="str">
        <f t="shared" si="299"/>
        <v>[240]</v>
      </c>
      <c r="AR148" s="47" t="str">
        <f>IF(V148="","",VLOOKUP(V148,物品id!$A:$B,2,FALSE)&amp;",")</f>
        <v>20033,</v>
      </c>
      <c r="AS148" s="47" t="str">
        <f>IF(W148="","",VLOOKUP(W148,物品id!$A:$B,2,FALSE)&amp;",")</f>
        <v>102,</v>
      </c>
      <c r="AT148" s="47" t="str">
        <f t="shared" si="344"/>
        <v>20033,102,</v>
      </c>
      <c r="AU148" s="47" t="str">
        <f t="shared" si="345"/>
        <v>[20033,102]</v>
      </c>
      <c r="AV148" s="47" t="str">
        <f t="shared" si="294"/>
        <v>2,</v>
      </c>
      <c r="AW148" s="47" t="str">
        <f t="shared" si="295"/>
        <v>1440,</v>
      </c>
      <c r="AX148" s="47" t="str">
        <f t="shared" si="346"/>
        <v>2,1440,</v>
      </c>
      <c r="AY148" s="47" t="str">
        <f t="shared" si="347"/>
        <v>[2,1440]</v>
      </c>
    </row>
    <row r="149" spans="1:51" s="47" customFormat="1" x14ac:dyDescent="0.2">
      <c r="A149" s="47">
        <v>6</v>
      </c>
      <c r="B149" s="47" t="s">
        <v>1032</v>
      </c>
      <c r="C149" s="47">
        <v>47</v>
      </c>
      <c r="D149" s="34" t="s">
        <v>1152</v>
      </c>
      <c r="E149" s="47" t="s">
        <v>1031</v>
      </c>
      <c r="F149" s="47">
        <v>3</v>
      </c>
      <c r="G149" s="47" t="s">
        <v>806</v>
      </c>
      <c r="H149" s="47" t="s">
        <v>807</v>
      </c>
      <c r="I149" s="47" t="s">
        <v>809</v>
      </c>
      <c r="J149" s="17">
        <v>0.8</v>
      </c>
      <c r="K149" s="17">
        <v>0</v>
      </c>
      <c r="L149" s="17">
        <v>0</v>
      </c>
      <c r="M149" s="35">
        <f>(IF(G149="",挂机玩法规划!$L$2,VLOOKUP(G149,物品id!A:D,4,FALSE)*IF(J149=0,1,4))*IF(J149=0,1,J149)+IF(H149="",挂机玩法规划!$L$2,VLOOKUP(H149,物品id!A:D,4,FALSE)*IF(K149=0,1,4))*IF(K149=0,1,K149)+IF(I149="",挂机玩法规划!$L$2,VLOOKUP(I149,物品id!A:D,4,FALSE)*IF(L149=0,1,4))*IF(L149=0,1,L149))/O149</f>
        <v>0.43333333333333335</v>
      </c>
      <c r="N149" s="44">
        <f>IF(G149="",挂机玩法规划!$L$2,VLOOKUP(G149,物品id!A:D,4,FALSE)*4)+IF(H149="",挂机玩法规划!$L$2,VLOOKUP(H149,物品id!A:D,4,FALSE)*4)+IF(I149="",挂机玩法规划!$L$2,VLOOKUP(I149,物品id!A:D,4,FALSE)*4)</f>
        <v>360</v>
      </c>
      <c r="O149" s="48">
        <v>360</v>
      </c>
      <c r="P149" s="47">
        <v>4</v>
      </c>
      <c r="Q149" s="47">
        <v>3</v>
      </c>
      <c r="R149" s="47">
        <v>3</v>
      </c>
      <c r="S149" s="47">
        <v>480</v>
      </c>
      <c r="T149" s="47" t="s">
        <v>835</v>
      </c>
      <c r="U149" s="47">
        <v>480</v>
      </c>
      <c r="V149" s="47" t="s">
        <v>837</v>
      </c>
      <c r="W149" s="47" t="s">
        <v>200</v>
      </c>
      <c r="X149" s="47">
        <v>3</v>
      </c>
      <c r="Y149" s="47">
        <f>U149*挂机玩法规划!$O$4*VLOOKUP(E149,挂机玩法规划!$G$2:$I$17,3,FALSE)</f>
        <v>2880</v>
      </c>
      <c r="Z149" s="17">
        <f t="shared" si="296"/>
        <v>1.3</v>
      </c>
      <c r="AA149" s="17">
        <f t="shared" si="297"/>
        <v>1248</v>
      </c>
      <c r="AB149" s="17">
        <f>(VLOOKUP(V149,物品id!A:E,5,FALSE)*挂机玩法填表!Z149+VLOOKUP(挂机玩法填表!W149,物品id!A:E,5,FALSE)*挂机玩法填表!AA149)/(U149/60)</f>
        <v>22.931999999999999</v>
      </c>
      <c r="AD149" s="17" t="str">
        <f>IF(G149="","",VLOOKUP(G149,物品id!$A:$B,2,FALSE)&amp;",")</f>
        <v>1311,</v>
      </c>
      <c r="AE149" s="17" t="str">
        <f>IF(H149="","",VLOOKUP(H149,物品id!$A:$B,2,FALSE)&amp;",")</f>
        <v>1321,</v>
      </c>
      <c r="AF149" s="17" t="str">
        <f>IF(I149="","",VLOOKUP(I149,物品id!$A:$B,2,FALSE)&amp;",")</f>
        <v>1341,</v>
      </c>
      <c r="AG149" s="47" t="str">
        <f t="shared" si="42"/>
        <v>1311,1321,1341,</v>
      </c>
      <c r="AH149" s="47" t="str">
        <f t="shared" si="43"/>
        <v>[1311,1321,1341]</v>
      </c>
      <c r="AI149" s="17" t="str">
        <f t="shared" si="290"/>
        <v>4,</v>
      </c>
      <c r="AJ149" s="17" t="str">
        <f t="shared" si="291"/>
        <v>3,</v>
      </c>
      <c r="AK149" s="17" t="str">
        <f t="shared" si="292"/>
        <v>3,</v>
      </c>
      <c r="AL149" s="47" t="str">
        <f t="shared" si="44"/>
        <v>4,3,3,</v>
      </c>
      <c r="AM149" s="47" t="str">
        <f t="shared" si="45"/>
        <v>[4,3,3]</v>
      </c>
      <c r="AN149" s="47" t="str">
        <f>VLOOKUP(T149,物品id!$A:$B,2,FALSE)&amp;","</f>
        <v>102,</v>
      </c>
      <c r="AO149" s="17" t="str">
        <f t="shared" si="298"/>
        <v>[102]</v>
      </c>
      <c r="AP149" s="47" t="str">
        <f t="shared" si="293"/>
        <v>480,</v>
      </c>
      <c r="AQ149" s="17" t="str">
        <f t="shared" si="299"/>
        <v>[480]</v>
      </c>
      <c r="AR149" s="47" t="str">
        <f>IF(V149="","",VLOOKUP(V149,物品id!$A:$B,2,FALSE)&amp;",")</f>
        <v>20033,</v>
      </c>
      <c r="AS149" s="47" t="str">
        <f>IF(W149="","",VLOOKUP(W149,物品id!$A:$B,2,FALSE)&amp;",")</f>
        <v>102,</v>
      </c>
      <c r="AT149" s="47" t="str">
        <f t="shared" si="46"/>
        <v>20033,102,</v>
      </c>
      <c r="AU149" s="47" t="str">
        <f t="shared" si="47"/>
        <v>[20033,102]</v>
      </c>
      <c r="AV149" s="47" t="str">
        <f t="shared" si="294"/>
        <v>3,</v>
      </c>
      <c r="AW149" s="47" t="str">
        <f t="shared" si="295"/>
        <v>2880,</v>
      </c>
      <c r="AX149" s="47" t="str">
        <f t="shared" si="48"/>
        <v>3,2880,</v>
      </c>
      <c r="AY149" s="47" t="str">
        <f t="shared" si="49"/>
        <v>[3,2880]</v>
      </c>
    </row>
    <row r="150" spans="1:51" s="47" customFormat="1" x14ac:dyDescent="0.2">
      <c r="A150" s="47">
        <v>6</v>
      </c>
      <c r="B150" s="47" t="s">
        <v>1032</v>
      </c>
      <c r="C150" s="47">
        <v>47</v>
      </c>
      <c r="D150" s="34" t="s">
        <v>1152</v>
      </c>
      <c r="E150" s="47" t="s">
        <v>1017</v>
      </c>
      <c r="F150" s="47">
        <v>3</v>
      </c>
      <c r="G150" s="47" t="s">
        <v>817</v>
      </c>
      <c r="H150" s="47" t="s">
        <v>818</v>
      </c>
      <c r="I150" s="47" t="s">
        <v>221</v>
      </c>
      <c r="J150" s="17">
        <v>0.8</v>
      </c>
      <c r="K150" s="17">
        <v>0</v>
      </c>
      <c r="L150" s="17">
        <v>0</v>
      </c>
      <c r="M150" s="35">
        <f>(IF(G150="",挂机玩法规划!$L$2,VLOOKUP(G150,物品id!A:D,4,FALSE)*IF(J150=0,1,4))*IF(J150=0,1,J150)+IF(H150="",挂机玩法规划!$L$2,VLOOKUP(H150,物品id!A:D,4,FALSE)*IF(K150=0,1,4))*IF(K150=0,1,K150)+IF(I150="",挂机玩法规划!$L$2,VLOOKUP(I150,物品id!A:D,4,FALSE)*IF(L150=0,1,4))*IF(L150=0,1,L150))/O150</f>
        <v>0.43333333333333335</v>
      </c>
      <c r="N150" s="44">
        <f>IF(G150="",挂机玩法规划!$L$2,VLOOKUP(G150,物品id!A:D,4,FALSE)*4)+IF(H150="",挂机玩法规划!$L$2,VLOOKUP(H150,物品id!A:D,4,FALSE)*4)+IF(I150="",挂机玩法规划!$L$2,VLOOKUP(I150,物品id!A:D,4,FALSE)*4)</f>
        <v>360</v>
      </c>
      <c r="O150" s="48">
        <v>360</v>
      </c>
      <c r="P150" s="47">
        <v>4</v>
      </c>
      <c r="Q150" s="47">
        <v>3</v>
      </c>
      <c r="R150" s="47">
        <v>3</v>
      </c>
      <c r="S150" s="47">
        <v>480</v>
      </c>
      <c r="T150" s="47" t="s">
        <v>835</v>
      </c>
      <c r="U150" s="47">
        <v>480</v>
      </c>
      <c r="V150" s="47" t="s">
        <v>837</v>
      </c>
      <c r="W150" s="47" t="s">
        <v>200</v>
      </c>
      <c r="X150" s="47">
        <v>3</v>
      </c>
      <c r="Y150" s="47">
        <f>U150*挂机玩法规划!$O$4*VLOOKUP(E150,挂机玩法规划!$G$2:$I$17,3,FALSE)</f>
        <v>2880</v>
      </c>
      <c r="Z150" s="17">
        <f t="shared" si="296"/>
        <v>1.3</v>
      </c>
      <c r="AA150" s="17">
        <f t="shared" si="297"/>
        <v>1248</v>
      </c>
      <c r="AB150" s="17">
        <f>(VLOOKUP(V150,物品id!A:E,5,FALSE)*挂机玩法填表!Z150+VLOOKUP(挂机玩法填表!W150,物品id!A:E,5,FALSE)*挂机玩法填表!AA150)/(U150/60)</f>
        <v>22.931999999999999</v>
      </c>
      <c r="AD150" s="17" t="str">
        <f>IF(G150="","",VLOOKUP(G150,物品id!$A:$B,2,FALSE)&amp;",")</f>
        <v>2311,</v>
      </c>
      <c r="AE150" s="17" t="str">
        <f>IF(H150="","",VLOOKUP(H150,物品id!$A:$B,2,FALSE)&amp;",")</f>
        <v>2321,</v>
      </c>
      <c r="AF150" s="17" t="str">
        <f>IF(I150="","",VLOOKUP(I150,物品id!$A:$B,2,FALSE)&amp;",")</f>
        <v>2341,</v>
      </c>
      <c r="AG150" s="47" t="str">
        <f t="shared" ref="AG150:AG151" si="348">AD150&amp;AE150&amp;AF150</f>
        <v>2311,2321,2341,</v>
      </c>
      <c r="AH150" s="47" t="str">
        <f t="shared" ref="AH150:AH151" si="349">"["&amp;LEFT(AG150,LEN(AG150)-1)&amp;"]"</f>
        <v>[2311,2321,2341]</v>
      </c>
      <c r="AI150" s="17" t="str">
        <f t="shared" si="290"/>
        <v>4,</v>
      </c>
      <c r="AJ150" s="17" t="str">
        <f t="shared" si="291"/>
        <v>3,</v>
      </c>
      <c r="AK150" s="17" t="str">
        <f t="shared" si="292"/>
        <v>3,</v>
      </c>
      <c r="AL150" s="47" t="str">
        <f t="shared" ref="AL150:AL151" si="350">AI150&amp;AJ150&amp;AK150</f>
        <v>4,3,3,</v>
      </c>
      <c r="AM150" s="47" t="str">
        <f t="shared" ref="AM150:AM151" si="351">"["&amp;LEFT(AL150,LEN(AL150)-1)&amp;"]"</f>
        <v>[4,3,3]</v>
      </c>
      <c r="AN150" s="47" t="str">
        <f>VLOOKUP(T150,物品id!$A:$B,2,FALSE)&amp;","</f>
        <v>102,</v>
      </c>
      <c r="AO150" s="17" t="str">
        <f t="shared" si="298"/>
        <v>[102]</v>
      </c>
      <c r="AP150" s="47" t="str">
        <f t="shared" si="293"/>
        <v>480,</v>
      </c>
      <c r="AQ150" s="17" t="str">
        <f t="shared" si="299"/>
        <v>[480]</v>
      </c>
      <c r="AR150" s="47" t="str">
        <f>IF(V150="","",VLOOKUP(V150,物品id!$A:$B,2,FALSE)&amp;",")</f>
        <v>20033,</v>
      </c>
      <c r="AS150" s="47" t="str">
        <f>IF(W150="","",VLOOKUP(W150,物品id!$A:$B,2,FALSE)&amp;",")</f>
        <v>102,</v>
      </c>
      <c r="AT150" s="47" t="str">
        <f t="shared" ref="AT150:AT151" si="352">AR150&amp;AS150</f>
        <v>20033,102,</v>
      </c>
      <c r="AU150" s="47" t="str">
        <f t="shared" ref="AU150:AU151" si="353">"["&amp;LEFT(AT150,LEN(AT150)-1)&amp;"]"</f>
        <v>[20033,102]</v>
      </c>
      <c r="AV150" s="47" t="str">
        <f t="shared" si="294"/>
        <v>3,</v>
      </c>
      <c r="AW150" s="47" t="str">
        <f t="shared" si="295"/>
        <v>2880,</v>
      </c>
      <c r="AX150" s="47" t="str">
        <f t="shared" ref="AX150:AX151" si="354">AV150&amp;AW150</f>
        <v>3,2880,</v>
      </c>
      <c r="AY150" s="47" t="str">
        <f t="shared" ref="AY150:AY151" si="355">"["&amp;LEFT(AX150,LEN(AX150)-1)&amp;"]"</f>
        <v>[3,2880]</v>
      </c>
    </row>
    <row r="151" spans="1:51" s="47" customFormat="1" x14ac:dyDescent="0.2">
      <c r="A151" s="47">
        <v>6</v>
      </c>
      <c r="B151" s="47" t="s">
        <v>1032</v>
      </c>
      <c r="C151" s="47">
        <v>47</v>
      </c>
      <c r="D151" s="34" t="s">
        <v>1152</v>
      </c>
      <c r="E151" s="47" t="s">
        <v>1017</v>
      </c>
      <c r="F151" s="47">
        <v>3</v>
      </c>
      <c r="G151" s="47" t="s">
        <v>827</v>
      </c>
      <c r="H151" s="47" t="s">
        <v>828</v>
      </c>
      <c r="I151" s="47" t="s">
        <v>830</v>
      </c>
      <c r="J151" s="17">
        <v>0.8</v>
      </c>
      <c r="K151" s="17">
        <v>0</v>
      </c>
      <c r="L151" s="17">
        <v>0</v>
      </c>
      <c r="M151" s="35">
        <f>(IF(G151="",挂机玩法规划!$L$2,VLOOKUP(G151,物品id!A:D,4,FALSE)*IF(J151=0,1,4))*IF(J151=0,1,J151)+IF(H151="",挂机玩法规划!$L$2,VLOOKUP(H151,物品id!A:D,4,FALSE)*IF(K151=0,1,4))*IF(K151=0,1,K151)+IF(I151="",挂机玩法规划!$L$2,VLOOKUP(I151,物品id!A:D,4,FALSE)*IF(L151=0,1,4))*IF(L151=0,1,L151))/O151</f>
        <v>0.43333333333333335</v>
      </c>
      <c r="N151" s="44">
        <f>IF(G151="",挂机玩法规划!$L$2,VLOOKUP(G151,物品id!A:D,4,FALSE)*4)+IF(H151="",挂机玩法规划!$L$2,VLOOKUP(H151,物品id!A:D,4,FALSE)*4)+IF(I151="",挂机玩法规划!$L$2,VLOOKUP(I151,物品id!A:D,4,FALSE)*4)</f>
        <v>360</v>
      </c>
      <c r="O151" s="48">
        <v>360</v>
      </c>
      <c r="P151" s="47">
        <v>4</v>
      </c>
      <c r="Q151" s="47">
        <v>3</v>
      </c>
      <c r="R151" s="47">
        <v>3</v>
      </c>
      <c r="S151" s="47">
        <v>480</v>
      </c>
      <c r="T151" s="47" t="s">
        <v>835</v>
      </c>
      <c r="U151" s="47">
        <v>480</v>
      </c>
      <c r="V151" s="47" t="s">
        <v>837</v>
      </c>
      <c r="W151" s="47" t="s">
        <v>200</v>
      </c>
      <c r="X151" s="47">
        <v>3</v>
      </c>
      <c r="Y151" s="47">
        <f>U151*挂机玩法规划!$O$4*VLOOKUP(E151,挂机玩法规划!$G$2:$I$17,3,FALSE)</f>
        <v>2880</v>
      </c>
      <c r="Z151" s="17">
        <f t="shared" si="296"/>
        <v>1.3</v>
      </c>
      <c r="AA151" s="17">
        <f t="shared" si="297"/>
        <v>1248</v>
      </c>
      <c r="AB151" s="17">
        <f>(VLOOKUP(V151,物品id!A:E,5,FALSE)*挂机玩法填表!Z151+VLOOKUP(挂机玩法填表!W151,物品id!A:E,5,FALSE)*挂机玩法填表!AA151)/(U151/60)</f>
        <v>22.931999999999999</v>
      </c>
      <c r="AD151" s="17" t="str">
        <f>IF(G151="","",VLOOKUP(G151,物品id!$A:$B,2,FALSE)&amp;",")</f>
        <v>3311,</v>
      </c>
      <c r="AE151" s="17" t="str">
        <f>IF(H151="","",VLOOKUP(H151,物品id!$A:$B,2,FALSE)&amp;",")</f>
        <v>3321,</v>
      </c>
      <c r="AF151" s="17" t="str">
        <f>IF(I151="","",VLOOKUP(I151,物品id!$A:$B,2,FALSE)&amp;",")</f>
        <v>3341,</v>
      </c>
      <c r="AG151" s="47" t="str">
        <f t="shared" si="348"/>
        <v>3311,3321,3341,</v>
      </c>
      <c r="AH151" s="47" t="str">
        <f t="shared" si="349"/>
        <v>[3311,3321,3341]</v>
      </c>
      <c r="AI151" s="17" t="str">
        <f t="shared" si="290"/>
        <v>4,</v>
      </c>
      <c r="AJ151" s="17" t="str">
        <f t="shared" si="291"/>
        <v>3,</v>
      </c>
      <c r="AK151" s="17" t="str">
        <f t="shared" si="292"/>
        <v>3,</v>
      </c>
      <c r="AL151" s="47" t="str">
        <f t="shared" si="350"/>
        <v>4,3,3,</v>
      </c>
      <c r="AM151" s="47" t="str">
        <f t="shared" si="351"/>
        <v>[4,3,3]</v>
      </c>
      <c r="AN151" s="47" t="str">
        <f>VLOOKUP(T151,物品id!$A:$B,2,FALSE)&amp;","</f>
        <v>102,</v>
      </c>
      <c r="AO151" s="17" t="str">
        <f t="shared" si="298"/>
        <v>[102]</v>
      </c>
      <c r="AP151" s="47" t="str">
        <f t="shared" si="293"/>
        <v>480,</v>
      </c>
      <c r="AQ151" s="17" t="str">
        <f t="shared" si="299"/>
        <v>[480]</v>
      </c>
      <c r="AR151" s="47" t="str">
        <f>IF(V151="","",VLOOKUP(V151,物品id!$A:$B,2,FALSE)&amp;",")</f>
        <v>20033,</v>
      </c>
      <c r="AS151" s="47" t="str">
        <f>IF(W151="","",VLOOKUP(W151,物品id!$A:$B,2,FALSE)&amp;",")</f>
        <v>102,</v>
      </c>
      <c r="AT151" s="47" t="str">
        <f t="shared" si="352"/>
        <v>20033,102,</v>
      </c>
      <c r="AU151" s="47" t="str">
        <f t="shared" si="353"/>
        <v>[20033,102]</v>
      </c>
      <c r="AV151" s="47" t="str">
        <f t="shared" si="294"/>
        <v>3,</v>
      </c>
      <c r="AW151" s="47" t="str">
        <f t="shared" si="295"/>
        <v>2880,</v>
      </c>
      <c r="AX151" s="47" t="str">
        <f t="shared" si="354"/>
        <v>3,2880,</v>
      </c>
      <c r="AY151" s="47" t="str">
        <f t="shared" si="355"/>
        <v>[3,2880]</v>
      </c>
    </row>
    <row r="152" spans="1:51" s="47" customFormat="1" x14ac:dyDescent="0.2">
      <c r="A152" s="47">
        <v>6</v>
      </c>
      <c r="B152" s="47" t="s">
        <v>1032</v>
      </c>
      <c r="C152" s="47">
        <v>47</v>
      </c>
      <c r="D152" s="34" t="s">
        <v>1152</v>
      </c>
      <c r="E152" s="47" t="s">
        <v>1031</v>
      </c>
      <c r="F152" s="47">
        <v>3</v>
      </c>
      <c r="G152" s="47" t="s">
        <v>806</v>
      </c>
      <c r="H152" s="47" t="s">
        <v>807</v>
      </c>
      <c r="I152" s="47" t="s">
        <v>809</v>
      </c>
      <c r="J152" s="17">
        <v>0.8</v>
      </c>
      <c r="K152" s="17">
        <v>0</v>
      </c>
      <c r="L152" s="17">
        <v>0</v>
      </c>
      <c r="M152" s="35">
        <f>(IF(G152="",挂机玩法规划!$L$2,VLOOKUP(G152,物品id!A:D,4,FALSE)*IF(J152=0,1,4))*IF(J152=0,1,J152)+IF(H152="",挂机玩法规划!$L$2,VLOOKUP(H152,物品id!A:D,4,FALSE)*IF(K152=0,1,4))*IF(K152=0,1,K152)+IF(I152="",挂机玩法规划!$L$2,VLOOKUP(I152,物品id!A:D,4,FALSE)*IF(L152=0,1,4))*IF(L152=0,1,L152))/O152</f>
        <v>0.43333333333333335</v>
      </c>
      <c r="N152" s="44">
        <f>IF(G152="",挂机玩法规划!$L$2,VLOOKUP(G152,物品id!A:D,4,FALSE)*4)+IF(H152="",挂机玩法规划!$L$2,VLOOKUP(H152,物品id!A:D,4,FALSE)*4)+IF(I152="",挂机玩法规划!$L$2,VLOOKUP(I152,物品id!A:D,4,FALSE)*4)</f>
        <v>360</v>
      </c>
      <c r="O152" s="48">
        <v>360</v>
      </c>
      <c r="P152" s="47">
        <v>4</v>
      </c>
      <c r="Q152" s="47">
        <v>3</v>
      </c>
      <c r="R152" s="47">
        <v>3</v>
      </c>
      <c r="S152" s="47">
        <v>720</v>
      </c>
      <c r="T152" s="47" t="s">
        <v>835</v>
      </c>
      <c r="U152" s="47">
        <v>720</v>
      </c>
      <c r="V152" s="47" t="s">
        <v>837</v>
      </c>
      <c r="W152" s="47" t="s">
        <v>200</v>
      </c>
      <c r="X152" s="47">
        <v>4</v>
      </c>
      <c r="Y152" s="47">
        <f>U152*挂机玩法规划!$O$4*VLOOKUP(E152,挂机玩法规划!$G$2:$I$17,3,FALSE)</f>
        <v>4320</v>
      </c>
      <c r="Z152" s="17">
        <f t="shared" si="296"/>
        <v>1.7333333333333334</v>
      </c>
      <c r="AA152" s="17">
        <f t="shared" si="297"/>
        <v>1872</v>
      </c>
      <c r="AB152" s="17">
        <f>(VLOOKUP(V152,物品id!A:E,5,FALSE)*挂机玩法填表!Z152+VLOOKUP(挂机玩法填表!W152,物品id!A:E,5,FALSE)*挂机玩法填表!AA152)/(U152/60)</f>
        <v>20.765333333333334</v>
      </c>
      <c r="AD152" s="17" t="str">
        <f>IF(G152="","",VLOOKUP(G152,物品id!$A:$B,2,FALSE)&amp;",")</f>
        <v>1311,</v>
      </c>
      <c r="AE152" s="17" t="str">
        <f>IF(H152="","",VLOOKUP(H152,物品id!$A:$B,2,FALSE)&amp;",")</f>
        <v>1321,</v>
      </c>
      <c r="AF152" s="17" t="str">
        <f>IF(I152="","",VLOOKUP(I152,物品id!$A:$B,2,FALSE)&amp;",")</f>
        <v>1341,</v>
      </c>
      <c r="AG152" s="47" t="str">
        <f t="shared" si="42"/>
        <v>1311,1321,1341,</v>
      </c>
      <c r="AH152" s="47" t="str">
        <f t="shared" si="43"/>
        <v>[1311,1321,1341]</v>
      </c>
      <c r="AI152" s="17" t="str">
        <f t="shared" si="290"/>
        <v>4,</v>
      </c>
      <c r="AJ152" s="17" t="str">
        <f t="shared" si="291"/>
        <v>3,</v>
      </c>
      <c r="AK152" s="17" t="str">
        <f t="shared" si="292"/>
        <v>3,</v>
      </c>
      <c r="AL152" s="47" t="str">
        <f t="shared" si="44"/>
        <v>4,3,3,</v>
      </c>
      <c r="AM152" s="47" t="str">
        <f t="shared" si="45"/>
        <v>[4,3,3]</v>
      </c>
      <c r="AN152" s="47" t="str">
        <f>VLOOKUP(T152,物品id!$A:$B,2,FALSE)&amp;","</f>
        <v>102,</v>
      </c>
      <c r="AO152" s="17" t="str">
        <f t="shared" si="298"/>
        <v>[102]</v>
      </c>
      <c r="AP152" s="47" t="str">
        <f t="shared" si="293"/>
        <v>720,</v>
      </c>
      <c r="AQ152" s="17" t="str">
        <f t="shared" si="299"/>
        <v>[720]</v>
      </c>
      <c r="AR152" s="47" t="str">
        <f>IF(V152="","",VLOOKUP(V152,物品id!$A:$B,2,FALSE)&amp;",")</f>
        <v>20033,</v>
      </c>
      <c r="AS152" s="47" t="str">
        <f>IF(W152="","",VLOOKUP(W152,物品id!$A:$B,2,FALSE)&amp;",")</f>
        <v>102,</v>
      </c>
      <c r="AT152" s="47" t="str">
        <f t="shared" si="46"/>
        <v>20033,102,</v>
      </c>
      <c r="AU152" s="47" t="str">
        <f t="shared" si="47"/>
        <v>[20033,102]</v>
      </c>
      <c r="AV152" s="47" t="str">
        <f t="shared" si="294"/>
        <v>4,</v>
      </c>
      <c r="AW152" s="47" t="str">
        <f t="shared" si="295"/>
        <v>4320,</v>
      </c>
      <c r="AX152" s="47" t="str">
        <f t="shared" si="48"/>
        <v>4,4320,</v>
      </c>
      <c r="AY152" s="47" t="str">
        <f t="shared" si="49"/>
        <v>[4,4320]</v>
      </c>
    </row>
    <row r="153" spans="1:51" s="47" customFormat="1" x14ac:dyDescent="0.2">
      <c r="A153" s="47">
        <v>6</v>
      </c>
      <c r="B153" s="47" t="s">
        <v>1032</v>
      </c>
      <c r="C153" s="47">
        <v>47</v>
      </c>
      <c r="D153" s="34" t="s">
        <v>1152</v>
      </c>
      <c r="E153" s="47" t="s">
        <v>1017</v>
      </c>
      <c r="F153" s="47">
        <v>3</v>
      </c>
      <c r="G153" s="47" t="s">
        <v>817</v>
      </c>
      <c r="H153" s="47" t="s">
        <v>818</v>
      </c>
      <c r="I153" s="47" t="s">
        <v>221</v>
      </c>
      <c r="J153" s="17">
        <v>0.8</v>
      </c>
      <c r="K153" s="17">
        <v>0</v>
      </c>
      <c r="L153" s="17">
        <v>0</v>
      </c>
      <c r="M153" s="35">
        <f>(IF(G153="",挂机玩法规划!$L$2,VLOOKUP(G153,物品id!A:D,4,FALSE)*IF(J153=0,1,4))*IF(J153=0,1,J153)+IF(H153="",挂机玩法规划!$L$2,VLOOKUP(H153,物品id!A:D,4,FALSE)*IF(K153=0,1,4))*IF(K153=0,1,K153)+IF(I153="",挂机玩法规划!$L$2,VLOOKUP(I153,物品id!A:D,4,FALSE)*IF(L153=0,1,4))*IF(L153=0,1,L153))/O153</f>
        <v>0.43333333333333335</v>
      </c>
      <c r="N153" s="44">
        <f>IF(G153="",挂机玩法规划!$L$2,VLOOKUP(G153,物品id!A:D,4,FALSE)*4)+IF(H153="",挂机玩法规划!$L$2,VLOOKUP(H153,物品id!A:D,4,FALSE)*4)+IF(I153="",挂机玩法规划!$L$2,VLOOKUP(I153,物品id!A:D,4,FALSE)*4)</f>
        <v>360</v>
      </c>
      <c r="O153" s="48">
        <v>360</v>
      </c>
      <c r="P153" s="47">
        <v>4</v>
      </c>
      <c r="Q153" s="47">
        <v>3</v>
      </c>
      <c r="R153" s="47">
        <v>3</v>
      </c>
      <c r="S153" s="47">
        <v>720</v>
      </c>
      <c r="T153" s="47" t="s">
        <v>835</v>
      </c>
      <c r="U153" s="47">
        <v>720</v>
      </c>
      <c r="V153" s="47" t="s">
        <v>837</v>
      </c>
      <c r="W153" s="47" t="s">
        <v>200</v>
      </c>
      <c r="X153" s="47">
        <v>4</v>
      </c>
      <c r="Y153" s="47">
        <f>U153*挂机玩法规划!$O$4*VLOOKUP(E153,挂机玩法规划!$G$2:$I$17,3,FALSE)</f>
        <v>4320</v>
      </c>
      <c r="Z153" s="17">
        <f t="shared" si="296"/>
        <v>1.7333333333333334</v>
      </c>
      <c r="AA153" s="17">
        <f t="shared" si="297"/>
        <v>1872</v>
      </c>
      <c r="AB153" s="17">
        <f>(VLOOKUP(V153,物品id!A:E,5,FALSE)*挂机玩法填表!Z153+VLOOKUP(挂机玩法填表!W153,物品id!A:E,5,FALSE)*挂机玩法填表!AA153)/(U153/60)</f>
        <v>20.765333333333334</v>
      </c>
      <c r="AD153" s="17" t="str">
        <f>IF(G153="","",VLOOKUP(G153,物品id!$A:$B,2,FALSE)&amp;",")</f>
        <v>2311,</v>
      </c>
      <c r="AE153" s="17" t="str">
        <f>IF(H153="","",VLOOKUP(H153,物品id!$A:$B,2,FALSE)&amp;",")</f>
        <v>2321,</v>
      </c>
      <c r="AF153" s="17" t="str">
        <f>IF(I153="","",VLOOKUP(I153,物品id!$A:$B,2,FALSE)&amp;",")</f>
        <v>2341,</v>
      </c>
      <c r="AG153" s="47" t="str">
        <f t="shared" ref="AG153:AG164" si="356">AD153&amp;AE153&amp;AF153</f>
        <v>2311,2321,2341,</v>
      </c>
      <c r="AH153" s="47" t="str">
        <f t="shared" ref="AH153:AH164" si="357">"["&amp;LEFT(AG153,LEN(AG153)-1)&amp;"]"</f>
        <v>[2311,2321,2341]</v>
      </c>
      <c r="AI153" s="17" t="str">
        <f t="shared" si="290"/>
        <v>4,</v>
      </c>
      <c r="AJ153" s="17" t="str">
        <f t="shared" si="291"/>
        <v>3,</v>
      </c>
      <c r="AK153" s="17" t="str">
        <f t="shared" si="292"/>
        <v>3,</v>
      </c>
      <c r="AL153" s="47" t="str">
        <f t="shared" ref="AL153:AL164" si="358">AI153&amp;AJ153&amp;AK153</f>
        <v>4,3,3,</v>
      </c>
      <c r="AM153" s="47" t="str">
        <f t="shared" ref="AM153:AM164" si="359">"["&amp;LEFT(AL153,LEN(AL153)-1)&amp;"]"</f>
        <v>[4,3,3]</v>
      </c>
      <c r="AN153" s="47" t="str">
        <f>VLOOKUP(T153,物品id!$A:$B,2,FALSE)&amp;","</f>
        <v>102,</v>
      </c>
      <c r="AO153" s="17" t="str">
        <f t="shared" si="298"/>
        <v>[102]</v>
      </c>
      <c r="AP153" s="47" t="str">
        <f t="shared" si="293"/>
        <v>720,</v>
      </c>
      <c r="AQ153" s="17" t="str">
        <f t="shared" si="299"/>
        <v>[720]</v>
      </c>
      <c r="AR153" s="47" t="str">
        <f>IF(V153="","",VLOOKUP(V153,物品id!$A:$B,2,FALSE)&amp;",")</f>
        <v>20033,</v>
      </c>
      <c r="AS153" s="47" t="str">
        <f>IF(W153="","",VLOOKUP(W153,物品id!$A:$B,2,FALSE)&amp;",")</f>
        <v>102,</v>
      </c>
      <c r="AT153" s="47" t="str">
        <f t="shared" ref="AT153:AT164" si="360">AR153&amp;AS153</f>
        <v>20033,102,</v>
      </c>
      <c r="AU153" s="47" t="str">
        <f t="shared" ref="AU153:AU164" si="361">"["&amp;LEFT(AT153,LEN(AT153)-1)&amp;"]"</f>
        <v>[20033,102]</v>
      </c>
      <c r="AV153" s="47" t="str">
        <f t="shared" si="294"/>
        <v>4,</v>
      </c>
      <c r="AW153" s="47" t="str">
        <f t="shared" si="295"/>
        <v>4320,</v>
      </c>
      <c r="AX153" s="47" t="str">
        <f t="shared" ref="AX153:AX164" si="362">AV153&amp;AW153</f>
        <v>4,4320,</v>
      </c>
      <c r="AY153" s="47" t="str">
        <f t="shared" ref="AY153:AY164" si="363">"["&amp;LEFT(AX153,LEN(AX153)-1)&amp;"]"</f>
        <v>[4,4320]</v>
      </c>
    </row>
    <row r="154" spans="1:51" s="47" customFormat="1" x14ac:dyDescent="0.2">
      <c r="A154" s="47">
        <v>6</v>
      </c>
      <c r="B154" s="47" t="s">
        <v>1032</v>
      </c>
      <c r="C154" s="47">
        <v>47</v>
      </c>
      <c r="D154" s="34" t="s">
        <v>1152</v>
      </c>
      <c r="E154" s="47" t="s">
        <v>1017</v>
      </c>
      <c r="F154" s="47">
        <v>3</v>
      </c>
      <c r="G154" s="47" t="s">
        <v>827</v>
      </c>
      <c r="H154" s="47" t="s">
        <v>828</v>
      </c>
      <c r="I154" s="47" t="s">
        <v>830</v>
      </c>
      <c r="J154" s="17">
        <v>0.8</v>
      </c>
      <c r="K154" s="17">
        <v>0</v>
      </c>
      <c r="L154" s="17">
        <v>0</v>
      </c>
      <c r="M154" s="35">
        <f>(IF(G154="",挂机玩法规划!$L$2,VLOOKUP(G154,物品id!A:D,4,FALSE)*IF(J154=0,1,4))*IF(J154=0,1,J154)+IF(H154="",挂机玩法规划!$L$2,VLOOKUP(H154,物品id!A:D,4,FALSE)*IF(K154=0,1,4))*IF(K154=0,1,K154)+IF(I154="",挂机玩法规划!$L$2,VLOOKUP(I154,物品id!A:D,4,FALSE)*IF(L154=0,1,4))*IF(L154=0,1,L154))/O154</f>
        <v>0.43333333333333335</v>
      </c>
      <c r="N154" s="44">
        <f>IF(G154="",挂机玩法规划!$L$2,VLOOKUP(G154,物品id!A:D,4,FALSE)*4)+IF(H154="",挂机玩法规划!$L$2,VLOOKUP(H154,物品id!A:D,4,FALSE)*4)+IF(I154="",挂机玩法规划!$L$2,VLOOKUP(I154,物品id!A:D,4,FALSE)*4)</f>
        <v>360</v>
      </c>
      <c r="O154" s="48">
        <v>360</v>
      </c>
      <c r="P154" s="47">
        <v>4</v>
      </c>
      <c r="Q154" s="47">
        <v>3</v>
      </c>
      <c r="R154" s="47">
        <v>3</v>
      </c>
      <c r="S154" s="47">
        <v>720</v>
      </c>
      <c r="T154" s="47" t="s">
        <v>835</v>
      </c>
      <c r="U154" s="47">
        <v>720</v>
      </c>
      <c r="V154" s="47" t="s">
        <v>837</v>
      </c>
      <c r="W154" s="47" t="s">
        <v>200</v>
      </c>
      <c r="X154" s="47">
        <v>4</v>
      </c>
      <c r="Y154" s="47">
        <f>U154*挂机玩法规划!$O$4*VLOOKUP(E154,挂机玩法规划!$G$2:$I$17,3,FALSE)</f>
        <v>4320</v>
      </c>
      <c r="Z154" s="17">
        <f t="shared" si="296"/>
        <v>1.7333333333333334</v>
      </c>
      <c r="AA154" s="17">
        <f t="shared" si="297"/>
        <v>1872</v>
      </c>
      <c r="AB154" s="17">
        <f>(VLOOKUP(V154,物品id!A:E,5,FALSE)*挂机玩法填表!Z154+VLOOKUP(挂机玩法填表!W154,物品id!A:E,5,FALSE)*挂机玩法填表!AA154)/(U154/60)</f>
        <v>20.765333333333334</v>
      </c>
      <c r="AD154" s="17" t="str">
        <f>IF(G154="","",VLOOKUP(G154,物品id!$A:$B,2,FALSE)&amp;",")</f>
        <v>3311,</v>
      </c>
      <c r="AE154" s="17" t="str">
        <f>IF(H154="","",VLOOKUP(H154,物品id!$A:$B,2,FALSE)&amp;",")</f>
        <v>3321,</v>
      </c>
      <c r="AF154" s="17" t="str">
        <f>IF(I154="","",VLOOKUP(I154,物品id!$A:$B,2,FALSE)&amp;",")</f>
        <v>3341,</v>
      </c>
      <c r="AG154" s="47" t="str">
        <f t="shared" si="356"/>
        <v>3311,3321,3341,</v>
      </c>
      <c r="AH154" s="47" t="str">
        <f t="shared" si="357"/>
        <v>[3311,3321,3341]</v>
      </c>
      <c r="AI154" s="17" t="str">
        <f t="shared" si="290"/>
        <v>4,</v>
      </c>
      <c r="AJ154" s="17" t="str">
        <f t="shared" si="291"/>
        <v>3,</v>
      </c>
      <c r="AK154" s="17" t="str">
        <f t="shared" si="292"/>
        <v>3,</v>
      </c>
      <c r="AL154" s="47" t="str">
        <f t="shared" si="358"/>
        <v>4,3,3,</v>
      </c>
      <c r="AM154" s="47" t="str">
        <f t="shared" si="359"/>
        <v>[4,3,3]</v>
      </c>
      <c r="AN154" s="47" t="str">
        <f>VLOOKUP(T154,物品id!$A:$B,2,FALSE)&amp;","</f>
        <v>102,</v>
      </c>
      <c r="AO154" s="17" t="str">
        <f t="shared" si="298"/>
        <v>[102]</v>
      </c>
      <c r="AP154" s="47" t="str">
        <f t="shared" si="293"/>
        <v>720,</v>
      </c>
      <c r="AQ154" s="17" t="str">
        <f t="shared" si="299"/>
        <v>[720]</v>
      </c>
      <c r="AR154" s="47" t="str">
        <f>IF(V154="","",VLOOKUP(V154,物品id!$A:$B,2,FALSE)&amp;",")</f>
        <v>20033,</v>
      </c>
      <c r="AS154" s="47" t="str">
        <f>IF(W154="","",VLOOKUP(W154,物品id!$A:$B,2,FALSE)&amp;",")</f>
        <v>102,</v>
      </c>
      <c r="AT154" s="47" t="str">
        <f t="shared" si="360"/>
        <v>20033,102,</v>
      </c>
      <c r="AU154" s="47" t="str">
        <f t="shared" si="361"/>
        <v>[20033,102]</v>
      </c>
      <c r="AV154" s="47" t="str">
        <f t="shared" si="294"/>
        <v>4,</v>
      </c>
      <c r="AW154" s="47" t="str">
        <f t="shared" si="295"/>
        <v>4320,</v>
      </c>
      <c r="AX154" s="47" t="str">
        <f t="shared" si="362"/>
        <v>4,4320,</v>
      </c>
      <c r="AY154" s="47" t="str">
        <f t="shared" si="363"/>
        <v>[4,4320]</v>
      </c>
    </row>
    <row r="155" spans="1:51" s="47" customFormat="1" x14ac:dyDescent="0.2">
      <c r="A155" s="47">
        <v>6</v>
      </c>
      <c r="B155" s="47" t="s">
        <v>1032</v>
      </c>
      <c r="C155" s="47">
        <v>48</v>
      </c>
      <c r="D155" s="34" t="s">
        <v>1153</v>
      </c>
      <c r="E155" s="47" t="s">
        <v>1017</v>
      </c>
      <c r="F155" s="47">
        <v>3</v>
      </c>
      <c r="G155" s="47" t="s">
        <v>808</v>
      </c>
      <c r="H155" s="47" t="s">
        <v>807</v>
      </c>
      <c r="I155" s="47" t="s">
        <v>809</v>
      </c>
      <c r="J155" s="17">
        <v>0</v>
      </c>
      <c r="K155" s="17">
        <v>0</v>
      </c>
      <c r="L155" s="17">
        <v>0</v>
      </c>
      <c r="M155" s="35">
        <f>(IF(G155="",挂机玩法规划!$L$2,VLOOKUP(G155,物品id!A:D,4,FALSE)*IF(J155=0,1,4))*IF(J155=0,1,J155)+IF(H155="",挂机玩法规划!$L$2,VLOOKUP(H155,物品id!A:D,4,FALSE)*IF(K155=0,1,4))*IF(K155=0,1,K155)+IF(I155="",挂机玩法规划!$L$2,VLOOKUP(I155,物品id!A:D,4,FALSE)*IF(L155=0,1,4))*IF(L155=0,1,L155))/O155</f>
        <v>0.25</v>
      </c>
      <c r="N155" s="44">
        <f>IF(G155="",挂机玩法规划!$L$2,VLOOKUP(G155,物品id!A:D,4,FALSE)*4)+IF(H155="",挂机玩法规划!$L$2,VLOOKUP(H155,物品id!A:D,4,FALSE)*4)+IF(I155="",挂机玩法规划!$L$2,VLOOKUP(I155,物品id!A:D,4,FALSE)*4)</f>
        <v>360</v>
      </c>
      <c r="O155" s="48">
        <v>360</v>
      </c>
      <c r="P155" s="47">
        <v>3</v>
      </c>
      <c r="Q155" s="47">
        <v>3</v>
      </c>
      <c r="R155" s="47">
        <v>3</v>
      </c>
      <c r="S155" s="47">
        <v>120</v>
      </c>
      <c r="T155" s="47" t="s">
        <v>835</v>
      </c>
      <c r="U155" s="47">
        <v>120</v>
      </c>
      <c r="V155" s="47" t="s">
        <v>837</v>
      </c>
      <c r="W155" s="47" t="s">
        <v>200</v>
      </c>
      <c r="X155" s="47">
        <v>1</v>
      </c>
      <c r="Y155" s="47">
        <f>U155*挂机玩法规划!$O$4*VLOOKUP(E155,挂机玩法规划!$G$2:$I$17,3,FALSE)</f>
        <v>720</v>
      </c>
      <c r="Z155" s="17">
        <f t="shared" si="296"/>
        <v>0.25</v>
      </c>
      <c r="AA155" s="17">
        <f t="shared" si="297"/>
        <v>180</v>
      </c>
      <c r="AB155" s="17">
        <f>(VLOOKUP(V155,物品id!A:E,5,FALSE)*挂机玩法填表!Z155+VLOOKUP(挂机玩法填表!W155,物品id!A:E,5,FALSE)*挂机玩法填表!AA155)/(U155/60)</f>
        <v>16.98</v>
      </c>
      <c r="AD155" s="17" t="str">
        <f>IF(G155="","",VLOOKUP(G155,物品id!$A:$B,2,FALSE)&amp;",")</f>
        <v>1331,</v>
      </c>
      <c r="AE155" s="17" t="str">
        <f>IF(H155="","",VLOOKUP(H155,物品id!$A:$B,2,FALSE)&amp;",")</f>
        <v>1321,</v>
      </c>
      <c r="AF155" s="17" t="str">
        <f>IF(I155="","",VLOOKUP(I155,物品id!$A:$B,2,FALSE)&amp;",")</f>
        <v>1341,</v>
      </c>
      <c r="AG155" s="47" t="str">
        <f t="shared" si="356"/>
        <v>1331,1321,1341,</v>
      </c>
      <c r="AH155" s="47" t="str">
        <f t="shared" si="357"/>
        <v>[1331,1321,1341]</v>
      </c>
      <c r="AI155" s="17" t="str">
        <f t="shared" si="290"/>
        <v>3,</v>
      </c>
      <c r="AJ155" s="17" t="str">
        <f t="shared" si="291"/>
        <v>3,</v>
      </c>
      <c r="AK155" s="17" t="str">
        <f t="shared" si="292"/>
        <v>3,</v>
      </c>
      <c r="AL155" s="47" t="str">
        <f t="shared" si="358"/>
        <v>3,3,3,</v>
      </c>
      <c r="AM155" s="47" t="str">
        <f t="shared" si="359"/>
        <v>[3,3,3]</v>
      </c>
      <c r="AN155" s="47" t="str">
        <f>VLOOKUP(T155,物品id!$A:$B,2,FALSE)&amp;","</f>
        <v>102,</v>
      </c>
      <c r="AO155" s="17" t="str">
        <f t="shared" si="298"/>
        <v>[102]</v>
      </c>
      <c r="AP155" s="47" t="str">
        <f t="shared" si="293"/>
        <v>120,</v>
      </c>
      <c r="AQ155" s="17" t="str">
        <f t="shared" si="299"/>
        <v>[120]</v>
      </c>
      <c r="AR155" s="47" t="str">
        <f>IF(V155="","",VLOOKUP(V155,物品id!$A:$B,2,FALSE)&amp;",")</f>
        <v>20033,</v>
      </c>
      <c r="AS155" s="47" t="str">
        <f>IF(W155="","",VLOOKUP(W155,物品id!$A:$B,2,FALSE)&amp;",")</f>
        <v>102,</v>
      </c>
      <c r="AT155" s="47" t="str">
        <f t="shared" si="360"/>
        <v>20033,102,</v>
      </c>
      <c r="AU155" s="47" t="str">
        <f t="shared" si="361"/>
        <v>[20033,102]</v>
      </c>
      <c r="AV155" s="47" t="str">
        <f t="shared" si="294"/>
        <v>1,</v>
      </c>
      <c r="AW155" s="47" t="str">
        <f t="shared" si="295"/>
        <v>720,</v>
      </c>
      <c r="AX155" s="47" t="str">
        <f t="shared" si="362"/>
        <v>1,720,</v>
      </c>
      <c r="AY155" s="47" t="str">
        <f t="shared" si="363"/>
        <v>[1,720]</v>
      </c>
    </row>
    <row r="156" spans="1:51" s="47" customFormat="1" x14ac:dyDescent="0.2">
      <c r="A156" s="47">
        <v>6</v>
      </c>
      <c r="B156" s="47" t="s">
        <v>1032</v>
      </c>
      <c r="C156" s="47">
        <v>48</v>
      </c>
      <c r="D156" s="34" t="s">
        <v>1153</v>
      </c>
      <c r="E156" s="47" t="s">
        <v>1017</v>
      </c>
      <c r="F156" s="47">
        <v>3</v>
      </c>
      <c r="G156" s="47" t="s">
        <v>819</v>
      </c>
      <c r="H156" s="47" t="s">
        <v>818</v>
      </c>
      <c r="I156" s="47" t="s">
        <v>221</v>
      </c>
      <c r="J156" s="17">
        <v>0</v>
      </c>
      <c r="K156" s="17">
        <v>0</v>
      </c>
      <c r="L156" s="17">
        <v>0</v>
      </c>
      <c r="M156" s="35">
        <f>(IF(G156="",挂机玩法规划!$L$2,VLOOKUP(G156,物品id!A:D,4,FALSE)*IF(J156=0,1,4))*IF(J156=0,1,J156)+IF(H156="",挂机玩法规划!$L$2,VLOOKUP(H156,物品id!A:D,4,FALSE)*IF(K156=0,1,4))*IF(K156=0,1,K156)+IF(I156="",挂机玩法规划!$L$2,VLOOKUP(I156,物品id!A:D,4,FALSE)*IF(L156=0,1,4))*IF(L156=0,1,L156))/O156</f>
        <v>0.25</v>
      </c>
      <c r="N156" s="44">
        <f>IF(G156="",挂机玩法规划!$L$2,VLOOKUP(G156,物品id!A:D,4,FALSE)*4)+IF(H156="",挂机玩法规划!$L$2,VLOOKUP(H156,物品id!A:D,4,FALSE)*4)+IF(I156="",挂机玩法规划!$L$2,VLOOKUP(I156,物品id!A:D,4,FALSE)*4)</f>
        <v>360</v>
      </c>
      <c r="O156" s="48">
        <v>360</v>
      </c>
      <c r="P156" s="47">
        <v>3</v>
      </c>
      <c r="Q156" s="47">
        <v>3</v>
      </c>
      <c r="R156" s="47">
        <v>3</v>
      </c>
      <c r="S156" s="47">
        <v>120</v>
      </c>
      <c r="T156" s="47" t="s">
        <v>835</v>
      </c>
      <c r="U156" s="47">
        <v>120</v>
      </c>
      <c r="V156" s="47" t="s">
        <v>837</v>
      </c>
      <c r="W156" s="47" t="s">
        <v>200</v>
      </c>
      <c r="X156" s="47">
        <v>1</v>
      </c>
      <c r="Y156" s="47">
        <f>U156*挂机玩法规划!$O$4*VLOOKUP(E156,挂机玩法规划!$G$2:$I$17,3,FALSE)</f>
        <v>720</v>
      </c>
      <c r="Z156" s="17">
        <f t="shared" si="296"/>
        <v>0.25</v>
      </c>
      <c r="AA156" s="17">
        <f t="shared" si="297"/>
        <v>180</v>
      </c>
      <c r="AB156" s="17">
        <f>(VLOOKUP(V156,物品id!A:E,5,FALSE)*挂机玩法填表!Z156+VLOOKUP(挂机玩法填表!W156,物品id!A:E,5,FALSE)*挂机玩法填表!AA156)/(U156/60)</f>
        <v>16.98</v>
      </c>
      <c r="AD156" s="17" t="str">
        <f>IF(G156="","",VLOOKUP(G156,物品id!$A:$B,2,FALSE)&amp;",")</f>
        <v>2331,</v>
      </c>
      <c r="AE156" s="17" t="str">
        <f>IF(H156="","",VLOOKUP(H156,物品id!$A:$B,2,FALSE)&amp;",")</f>
        <v>2321,</v>
      </c>
      <c r="AF156" s="17" t="str">
        <f>IF(I156="","",VLOOKUP(I156,物品id!$A:$B,2,FALSE)&amp;",")</f>
        <v>2341,</v>
      </c>
      <c r="AG156" s="47" t="str">
        <f t="shared" si="356"/>
        <v>2331,2321,2341,</v>
      </c>
      <c r="AH156" s="47" t="str">
        <f t="shared" si="357"/>
        <v>[2331,2321,2341]</v>
      </c>
      <c r="AI156" s="17" t="str">
        <f t="shared" si="290"/>
        <v>3,</v>
      </c>
      <c r="AJ156" s="17" t="str">
        <f t="shared" si="291"/>
        <v>3,</v>
      </c>
      <c r="AK156" s="17" t="str">
        <f t="shared" si="292"/>
        <v>3,</v>
      </c>
      <c r="AL156" s="47" t="str">
        <f t="shared" si="358"/>
        <v>3,3,3,</v>
      </c>
      <c r="AM156" s="47" t="str">
        <f t="shared" si="359"/>
        <v>[3,3,3]</v>
      </c>
      <c r="AN156" s="47" t="str">
        <f>VLOOKUP(T156,物品id!$A:$B,2,FALSE)&amp;","</f>
        <v>102,</v>
      </c>
      <c r="AO156" s="17" t="str">
        <f t="shared" si="298"/>
        <v>[102]</v>
      </c>
      <c r="AP156" s="47" t="str">
        <f t="shared" si="293"/>
        <v>120,</v>
      </c>
      <c r="AQ156" s="17" t="str">
        <f t="shared" si="299"/>
        <v>[120]</v>
      </c>
      <c r="AR156" s="47" t="str">
        <f>IF(V156="","",VLOOKUP(V156,物品id!$A:$B,2,FALSE)&amp;",")</f>
        <v>20033,</v>
      </c>
      <c r="AS156" s="47" t="str">
        <f>IF(W156="","",VLOOKUP(W156,物品id!$A:$B,2,FALSE)&amp;",")</f>
        <v>102,</v>
      </c>
      <c r="AT156" s="47" t="str">
        <f t="shared" si="360"/>
        <v>20033,102,</v>
      </c>
      <c r="AU156" s="47" t="str">
        <f t="shared" si="361"/>
        <v>[20033,102]</v>
      </c>
      <c r="AV156" s="47" t="str">
        <f t="shared" si="294"/>
        <v>1,</v>
      </c>
      <c r="AW156" s="47" t="str">
        <f t="shared" si="295"/>
        <v>720,</v>
      </c>
      <c r="AX156" s="47" t="str">
        <f t="shared" si="362"/>
        <v>1,720,</v>
      </c>
      <c r="AY156" s="47" t="str">
        <f t="shared" si="363"/>
        <v>[1,720]</v>
      </c>
    </row>
    <row r="157" spans="1:51" s="47" customFormat="1" x14ac:dyDescent="0.2">
      <c r="A157" s="47">
        <v>6</v>
      </c>
      <c r="B157" s="47" t="s">
        <v>1032</v>
      </c>
      <c r="C157" s="47">
        <v>48</v>
      </c>
      <c r="D157" s="34" t="s">
        <v>1153</v>
      </c>
      <c r="E157" s="47" t="s">
        <v>1017</v>
      </c>
      <c r="F157" s="47">
        <v>3</v>
      </c>
      <c r="G157" s="47" t="s">
        <v>829</v>
      </c>
      <c r="H157" s="47" t="s">
        <v>828</v>
      </c>
      <c r="I157" s="47" t="s">
        <v>830</v>
      </c>
      <c r="J157" s="17">
        <v>0</v>
      </c>
      <c r="K157" s="17">
        <v>0</v>
      </c>
      <c r="L157" s="17">
        <v>0</v>
      </c>
      <c r="M157" s="35">
        <f>(IF(G157="",挂机玩法规划!$L$2,VLOOKUP(G157,物品id!A:D,4,FALSE)*IF(J157=0,1,4))*IF(J157=0,1,J157)+IF(H157="",挂机玩法规划!$L$2,VLOOKUP(H157,物品id!A:D,4,FALSE)*IF(K157=0,1,4))*IF(K157=0,1,K157)+IF(I157="",挂机玩法规划!$L$2,VLOOKUP(I157,物品id!A:D,4,FALSE)*IF(L157=0,1,4))*IF(L157=0,1,L157))/O157</f>
        <v>0.25</v>
      </c>
      <c r="N157" s="44">
        <f>IF(G157="",挂机玩法规划!$L$2,VLOOKUP(G157,物品id!A:D,4,FALSE)*4)+IF(H157="",挂机玩法规划!$L$2,VLOOKUP(H157,物品id!A:D,4,FALSE)*4)+IF(I157="",挂机玩法规划!$L$2,VLOOKUP(I157,物品id!A:D,4,FALSE)*4)</f>
        <v>360</v>
      </c>
      <c r="O157" s="48">
        <v>360</v>
      </c>
      <c r="P157" s="47">
        <v>3</v>
      </c>
      <c r="Q157" s="47">
        <v>3</v>
      </c>
      <c r="R157" s="47">
        <v>3</v>
      </c>
      <c r="S157" s="47">
        <v>120</v>
      </c>
      <c r="T157" s="47" t="s">
        <v>835</v>
      </c>
      <c r="U157" s="47">
        <v>120</v>
      </c>
      <c r="V157" s="47" t="s">
        <v>837</v>
      </c>
      <c r="W157" s="47" t="s">
        <v>200</v>
      </c>
      <c r="X157" s="47">
        <v>1</v>
      </c>
      <c r="Y157" s="47">
        <f>U157*挂机玩法规划!$O$4*VLOOKUP(E157,挂机玩法规划!$G$2:$I$17,3,FALSE)</f>
        <v>720</v>
      </c>
      <c r="Z157" s="17">
        <f t="shared" si="296"/>
        <v>0.25</v>
      </c>
      <c r="AA157" s="17">
        <f t="shared" si="297"/>
        <v>180</v>
      </c>
      <c r="AB157" s="17">
        <f>(VLOOKUP(V157,物品id!A:E,5,FALSE)*挂机玩法填表!Z157+VLOOKUP(挂机玩法填表!W157,物品id!A:E,5,FALSE)*挂机玩法填表!AA157)/(U157/60)</f>
        <v>16.98</v>
      </c>
      <c r="AD157" s="17" t="str">
        <f>IF(G157="","",VLOOKUP(G157,物品id!$A:$B,2,FALSE)&amp;",")</f>
        <v>3331,</v>
      </c>
      <c r="AE157" s="17" t="str">
        <f>IF(H157="","",VLOOKUP(H157,物品id!$A:$B,2,FALSE)&amp;",")</f>
        <v>3321,</v>
      </c>
      <c r="AF157" s="17" t="str">
        <f>IF(I157="","",VLOOKUP(I157,物品id!$A:$B,2,FALSE)&amp;",")</f>
        <v>3341,</v>
      </c>
      <c r="AG157" s="47" t="str">
        <f t="shared" si="356"/>
        <v>3331,3321,3341,</v>
      </c>
      <c r="AH157" s="47" t="str">
        <f t="shared" si="357"/>
        <v>[3331,3321,3341]</v>
      </c>
      <c r="AI157" s="17" t="str">
        <f t="shared" si="290"/>
        <v>3,</v>
      </c>
      <c r="AJ157" s="17" t="str">
        <f t="shared" si="291"/>
        <v>3,</v>
      </c>
      <c r="AK157" s="17" t="str">
        <f t="shared" si="292"/>
        <v>3,</v>
      </c>
      <c r="AL157" s="47" t="str">
        <f t="shared" si="358"/>
        <v>3,3,3,</v>
      </c>
      <c r="AM157" s="47" t="str">
        <f t="shared" si="359"/>
        <v>[3,3,3]</v>
      </c>
      <c r="AN157" s="47" t="str">
        <f>VLOOKUP(T157,物品id!$A:$B,2,FALSE)&amp;","</f>
        <v>102,</v>
      </c>
      <c r="AO157" s="17" t="str">
        <f t="shared" si="298"/>
        <v>[102]</v>
      </c>
      <c r="AP157" s="47" t="str">
        <f t="shared" si="293"/>
        <v>120,</v>
      </c>
      <c r="AQ157" s="17" t="str">
        <f t="shared" si="299"/>
        <v>[120]</v>
      </c>
      <c r="AR157" s="47" t="str">
        <f>IF(V157="","",VLOOKUP(V157,物品id!$A:$B,2,FALSE)&amp;",")</f>
        <v>20033,</v>
      </c>
      <c r="AS157" s="47" t="str">
        <f>IF(W157="","",VLOOKUP(W157,物品id!$A:$B,2,FALSE)&amp;",")</f>
        <v>102,</v>
      </c>
      <c r="AT157" s="47" t="str">
        <f t="shared" si="360"/>
        <v>20033,102,</v>
      </c>
      <c r="AU157" s="47" t="str">
        <f t="shared" si="361"/>
        <v>[20033,102]</v>
      </c>
      <c r="AV157" s="47" t="str">
        <f t="shared" si="294"/>
        <v>1,</v>
      </c>
      <c r="AW157" s="47" t="str">
        <f t="shared" si="295"/>
        <v>720,</v>
      </c>
      <c r="AX157" s="47" t="str">
        <f t="shared" si="362"/>
        <v>1,720,</v>
      </c>
      <c r="AY157" s="47" t="str">
        <f t="shared" si="363"/>
        <v>[1,720]</v>
      </c>
    </row>
    <row r="158" spans="1:51" s="47" customFormat="1" x14ac:dyDescent="0.2">
      <c r="A158" s="47">
        <v>6</v>
      </c>
      <c r="B158" s="47" t="s">
        <v>1032</v>
      </c>
      <c r="C158" s="47">
        <v>48</v>
      </c>
      <c r="D158" s="34" t="s">
        <v>1153</v>
      </c>
      <c r="E158" s="47" t="s">
        <v>1017</v>
      </c>
      <c r="F158" s="47">
        <v>3</v>
      </c>
      <c r="G158" s="47" t="s">
        <v>808</v>
      </c>
      <c r="H158" s="47" t="s">
        <v>807</v>
      </c>
      <c r="I158" s="47" t="s">
        <v>809</v>
      </c>
      <c r="J158" s="17">
        <v>0</v>
      </c>
      <c r="K158" s="17">
        <v>0</v>
      </c>
      <c r="L158" s="17">
        <v>0</v>
      </c>
      <c r="M158" s="35">
        <f>(IF(G158="",挂机玩法规划!$L$2,VLOOKUP(G158,物品id!A:D,4,FALSE)*IF(J158=0,1,4))*IF(J158=0,1,J158)+IF(H158="",挂机玩法规划!$L$2,VLOOKUP(H158,物品id!A:D,4,FALSE)*IF(K158=0,1,4))*IF(K158=0,1,K158)+IF(I158="",挂机玩法规划!$L$2,VLOOKUP(I158,物品id!A:D,4,FALSE)*IF(L158=0,1,4))*IF(L158=0,1,L158))/O158</f>
        <v>0.25</v>
      </c>
      <c r="N158" s="44">
        <f>IF(G158="",挂机玩法规划!$L$2,VLOOKUP(G158,物品id!A:D,4,FALSE)*4)+IF(H158="",挂机玩法规划!$L$2,VLOOKUP(H158,物品id!A:D,4,FALSE)*4)+IF(I158="",挂机玩法规划!$L$2,VLOOKUP(I158,物品id!A:D,4,FALSE)*4)</f>
        <v>360</v>
      </c>
      <c r="O158" s="48">
        <v>360</v>
      </c>
      <c r="P158" s="47">
        <v>3</v>
      </c>
      <c r="Q158" s="47">
        <v>3</v>
      </c>
      <c r="R158" s="47">
        <v>3</v>
      </c>
      <c r="S158" s="47">
        <v>240</v>
      </c>
      <c r="T158" s="47" t="s">
        <v>835</v>
      </c>
      <c r="U158" s="47">
        <v>240</v>
      </c>
      <c r="V158" s="47" t="s">
        <v>837</v>
      </c>
      <c r="W158" s="47" t="s">
        <v>200</v>
      </c>
      <c r="X158" s="47">
        <v>2</v>
      </c>
      <c r="Y158" s="47">
        <f>U158*挂机玩法规划!$O$4*VLOOKUP(E158,挂机玩法规划!$G$2:$I$17,3,FALSE)</f>
        <v>1440</v>
      </c>
      <c r="Z158" s="17">
        <f t="shared" si="296"/>
        <v>0.5</v>
      </c>
      <c r="AA158" s="17">
        <f t="shared" si="297"/>
        <v>360</v>
      </c>
      <c r="AB158" s="17">
        <f>(VLOOKUP(V158,物品id!A:E,5,FALSE)*挂机玩法填表!Z158+VLOOKUP(挂机玩法填表!W158,物品id!A:E,5,FALSE)*挂机玩法填表!AA158)/(U158/60)</f>
        <v>16.98</v>
      </c>
      <c r="AD158" s="17" t="str">
        <f>IF(G158="","",VLOOKUP(G158,物品id!$A:$B,2,FALSE)&amp;",")</f>
        <v>1331,</v>
      </c>
      <c r="AE158" s="17" t="str">
        <f>IF(H158="","",VLOOKUP(H158,物品id!$A:$B,2,FALSE)&amp;",")</f>
        <v>1321,</v>
      </c>
      <c r="AF158" s="17" t="str">
        <f>IF(I158="","",VLOOKUP(I158,物品id!$A:$B,2,FALSE)&amp;",")</f>
        <v>1341,</v>
      </c>
      <c r="AG158" s="47" t="str">
        <f t="shared" si="356"/>
        <v>1331,1321,1341,</v>
      </c>
      <c r="AH158" s="47" t="str">
        <f t="shared" si="357"/>
        <v>[1331,1321,1341]</v>
      </c>
      <c r="AI158" s="17" t="str">
        <f t="shared" si="290"/>
        <v>3,</v>
      </c>
      <c r="AJ158" s="17" t="str">
        <f t="shared" si="291"/>
        <v>3,</v>
      </c>
      <c r="AK158" s="17" t="str">
        <f t="shared" si="292"/>
        <v>3,</v>
      </c>
      <c r="AL158" s="47" t="str">
        <f t="shared" si="358"/>
        <v>3,3,3,</v>
      </c>
      <c r="AM158" s="47" t="str">
        <f t="shared" si="359"/>
        <v>[3,3,3]</v>
      </c>
      <c r="AN158" s="47" t="str">
        <f>VLOOKUP(T158,物品id!$A:$B,2,FALSE)&amp;","</f>
        <v>102,</v>
      </c>
      <c r="AO158" s="17" t="str">
        <f t="shared" si="298"/>
        <v>[102]</v>
      </c>
      <c r="AP158" s="47" t="str">
        <f t="shared" si="293"/>
        <v>240,</v>
      </c>
      <c r="AQ158" s="17" t="str">
        <f t="shared" si="299"/>
        <v>[240]</v>
      </c>
      <c r="AR158" s="47" t="str">
        <f>IF(V158="","",VLOOKUP(V158,物品id!$A:$B,2,FALSE)&amp;",")</f>
        <v>20033,</v>
      </c>
      <c r="AS158" s="47" t="str">
        <f>IF(W158="","",VLOOKUP(W158,物品id!$A:$B,2,FALSE)&amp;",")</f>
        <v>102,</v>
      </c>
      <c r="AT158" s="47" t="str">
        <f t="shared" si="360"/>
        <v>20033,102,</v>
      </c>
      <c r="AU158" s="47" t="str">
        <f t="shared" si="361"/>
        <v>[20033,102]</v>
      </c>
      <c r="AV158" s="47" t="str">
        <f t="shared" si="294"/>
        <v>2,</v>
      </c>
      <c r="AW158" s="47" t="str">
        <f t="shared" si="295"/>
        <v>1440,</v>
      </c>
      <c r="AX158" s="47" t="str">
        <f t="shared" si="362"/>
        <v>2,1440,</v>
      </c>
      <c r="AY158" s="47" t="str">
        <f t="shared" si="363"/>
        <v>[2,1440]</v>
      </c>
    </row>
    <row r="159" spans="1:51" s="47" customFormat="1" x14ac:dyDescent="0.2">
      <c r="A159" s="47">
        <v>6</v>
      </c>
      <c r="B159" s="47" t="s">
        <v>1032</v>
      </c>
      <c r="C159" s="47">
        <v>48</v>
      </c>
      <c r="D159" s="34" t="s">
        <v>1153</v>
      </c>
      <c r="E159" s="47" t="s">
        <v>1017</v>
      </c>
      <c r="F159" s="47">
        <v>3</v>
      </c>
      <c r="G159" s="47" t="s">
        <v>819</v>
      </c>
      <c r="H159" s="47" t="s">
        <v>818</v>
      </c>
      <c r="I159" s="47" t="s">
        <v>221</v>
      </c>
      <c r="J159" s="17">
        <v>0</v>
      </c>
      <c r="K159" s="17">
        <v>0</v>
      </c>
      <c r="L159" s="17">
        <v>0</v>
      </c>
      <c r="M159" s="35">
        <f>(IF(G159="",挂机玩法规划!$L$2,VLOOKUP(G159,物品id!A:D,4,FALSE)*IF(J159=0,1,4))*IF(J159=0,1,J159)+IF(H159="",挂机玩法规划!$L$2,VLOOKUP(H159,物品id!A:D,4,FALSE)*IF(K159=0,1,4))*IF(K159=0,1,K159)+IF(I159="",挂机玩法规划!$L$2,VLOOKUP(I159,物品id!A:D,4,FALSE)*IF(L159=0,1,4))*IF(L159=0,1,L159))/O159</f>
        <v>0.25</v>
      </c>
      <c r="N159" s="44">
        <f>IF(G159="",挂机玩法规划!$L$2,VLOOKUP(G159,物品id!A:D,4,FALSE)*4)+IF(H159="",挂机玩法规划!$L$2,VLOOKUP(H159,物品id!A:D,4,FALSE)*4)+IF(I159="",挂机玩法规划!$L$2,VLOOKUP(I159,物品id!A:D,4,FALSE)*4)</f>
        <v>360</v>
      </c>
      <c r="O159" s="48">
        <v>360</v>
      </c>
      <c r="P159" s="47">
        <v>3</v>
      </c>
      <c r="Q159" s="47">
        <v>3</v>
      </c>
      <c r="R159" s="47">
        <v>3</v>
      </c>
      <c r="S159" s="47">
        <v>240</v>
      </c>
      <c r="T159" s="47" t="s">
        <v>835</v>
      </c>
      <c r="U159" s="47">
        <v>240</v>
      </c>
      <c r="V159" s="47" t="s">
        <v>837</v>
      </c>
      <c r="W159" s="47" t="s">
        <v>200</v>
      </c>
      <c r="X159" s="47">
        <v>2</v>
      </c>
      <c r="Y159" s="47">
        <f>U159*挂机玩法规划!$O$4*VLOOKUP(E159,挂机玩法规划!$G$2:$I$17,3,FALSE)</f>
        <v>1440</v>
      </c>
      <c r="Z159" s="17">
        <f t="shared" si="296"/>
        <v>0.5</v>
      </c>
      <c r="AA159" s="17">
        <f t="shared" si="297"/>
        <v>360</v>
      </c>
      <c r="AB159" s="17">
        <f>(VLOOKUP(V159,物品id!A:E,5,FALSE)*挂机玩法填表!Z159+VLOOKUP(挂机玩法填表!W159,物品id!A:E,5,FALSE)*挂机玩法填表!AA159)/(U159/60)</f>
        <v>16.98</v>
      </c>
      <c r="AD159" s="17" t="str">
        <f>IF(G159="","",VLOOKUP(G159,物品id!$A:$B,2,FALSE)&amp;",")</f>
        <v>2331,</v>
      </c>
      <c r="AE159" s="17" t="str">
        <f>IF(H159="","",VLOOKUP(H159,物品id!$A:$B,2,FALSE)&amp;",")</f>
        <v>2321,</v>
      </c>
      <c r="AF159" s="17" t="str">
        <f>IF(I159="","",VLOOKUP(I159,物品id!$A:$B,2,FALSE)&amp;",")</f>
        <v>2341,</v>
      </c>
      <c r="AG159" s="47" t="str">
        <f t="shared" si="356"/>
        <v>2331,2321,2341,</v>
      </c>
      <c r="AH159" s="47" t="str">
        <f t="shared" si="357"/>
        <v>[2331,2321,2341]</v>
      </c>
      <c r="AI159" s="17" t="str">
        <f t="shared" si="290"/>
        <v>3,</v>
      </c>
      <c r="AJ159" s="17" t="str">
        <f t="shared" si="291"/>
        <v>3,</v>
      </c>
      <c r="AK159" s="17" t="str">
        <f t="shared" si="292"/>
        <v>3,</v>
      </c>
      <c r="AL159" s="47" t="str">
        <f t="shared" si="358"/>
        <v>3,3,3,</v>
      </c>
      <c r="AM159" s="47" t="str">
        <f t="shared" si="359"/>
        <v>[3,3,3]</v>
      </c>
      <c r="AN159" s="47" t="str">
        <f>VLOOKUP(T159,物品id!$A:$B,2,FALSE)&amp;","</f>
        <v>102,</v>
      </c>
      <c r="AO159" s="17" t="str">
        <f t="shared" si="298"/>
        <v>[102]</v>
      </c>
      <c r="AP159" s="47" t="str">
        <f t="shared" si="293"/>
        <v>240,</v>
      </c>
      <c r="AQ159" s="17" t="str">
        <f t="shared" si="299"/>
        <v>[240]</v>
      </c>
      <c r="AR159" s="47" t="str">
        <f>IF(V159="","",VLOOKUP(V159,物品id!$A:$B,2,FALSE)&amp;",")</f>
        <v>20033,</v>
      </c>
      <c r="AS159" s="47" t="str">
        <f>IF(W159="","",VLOOKUP(W159,物品id!$A:$B,2,FALSE)&amp;",")</f>
        <v>102,</v>
      </c>
      <c r="AT159" s="47" t="str">
        <f t="shared" si="360"/>
        <v>20033,102,</v>
      </c>
      <c r="AU159" s="47" t="str">
        <f t="shared" si="361"/>
        <v>[20033,102]</v>
      </c>
      <c r="AV159" s="47" t="str">
        <f t="shared" si="294"/>
        <v>2,</v>
      </c>
      <c r="AW159" s="47" t="str">
        <f t="shared" si="295"/>
        <v>1440,</v>
      </c>
      <c r="AX159" s="47" t="str">
        <f t="shared" si="362"/>
        <v>2,1440,</v>
      </c>
      <c r="AY159" s="47" t="str">
        <f t="shared" si="363"/>
        <v>[2,1440]</v>
      </c>
    </row>
    <row r="160" spans="1:51" s="47" customFormat="1" x14ac:dyDescent="0.2">
      <c r="A160" s="47">
        <v>6</v>
      </c>
      <c r="B160" s="47" t="s">
        <v>1032</v>
      </c>
      <c r="C160" s="47">
        <v>48</v>
      </c>
      <c r="D160" s="34" t="s">
        <v>1153</v>
      </c>
      <c r="E160" s="47" t="s">
        <v>1017</v>
      </c>
      <c r="F160" s="47">
        <v>3</v>
      </c>
      <c r="G160" s="47" t="s">
        <v>829</v>
      </c>
      <c r="H160" s="47" t="s">
        <v>828</v>
      </c>
      <c r="I160" s="47" t="s">
        <v>830</v>
      </c>
      <c r="J160" s="17">
        <v>0</v>
      </c>
      <c r="K160" s="17">
        <v>0</v>
      </c>
      <c r="L160" s="17">
        <v>0</v>
      </c>
      <c r="M160" s="35">
        <f>(IF(G160="",挂机玩法规划!$L$2,VLOOKUP(G160,物品id!A:D,4,FALSE)*IF(J160=0,1,4))*IF(J160=0,1,J160)+IF(H160="",挂机玩法规划!$L$2,VLOOKUP(H160,物品id!A:D,4,FALSE)*IF(K160=0,1,4))*IF(K160=0,1,K160)+IF(I160="",挂机玩法规划!$L$2,VLOOKUP(I160,物品id!A:D,4,FALSE)*IF(L160=0,1,4))*IF(L160=0,1,L160))/O160</f>
        <v>0.25</v>
      </c>
      <c r="N160" s="44">
        <f>IF(G160="",挂机玩法规划!$L$2,VLOOKUP(G160,物品id!A:D,4,FALSE)*4)+IF(H160="",挂机玩法规划!$L$2,VLOOKUP(H160,物品id!A:D,4,FALSE)*4)+IF(I160="",挂机玩法规划!$L$2,VLOOKUP(I160,物品id!A:D,4,FALSE)*4)</f>
        <v>360</v>
      </c>
      <c r="O160" s="48">
        <v>360</v>
      </c>
      <c r="P160" s="47">
        <v>3</v>
      </c>
      <c r="Q160" s="47">
        <v>3</v>
      </c>
      <c r="R160" s="47">
        <v>3</v>
      </c>
      <c r="S160" s="47">
        <v>240</v>
      </c>
      <c r="T160" s="47" t="s">
        <v>835</v>
      </c>
      <c r="U160" s="47">
        <v>240</v>
      </c>
      <c r="V160" s="47" t="s">
        <v>837</v>
      </c>
      <c r="W160" s="47" t="s">
        <v>200</v>
      </c>
      <c r="X160" s="47">
        <v>2</v>
      </c>
      <c r="Y160" s="47">
        <f>U160*挂机玩法规划!$O$4*VLOOKUP(E160,挂机玩法规划!$G$2:$I$17,3,FALSE)</f>
        <v>1440</v>
      </c>
      <c r="Z160" s="17">
        <f t="shared" si="296"/>
        <v>0.5</v>
      </c>
      <c r="AA160" s="17">
        <f t="shared" si="297"/>
        <v>360</v>
      </c>
      <c r="AB160" s="17">
        <f>(VLOOKUP(V160,物品id!A:E,5,FALSE)*挂机玩法填表!Z160+VLOOKUP(挂机玩法填表!W160,物品id!A:E,5,FALSE)*挂机玩法填表!AA160)/(U160/60)</f>
        <v>16.98</v>
      </c>
      <c r="AD160" s="17" t="str">
        <f>IF(G160="","",VLOOKUP(G160,物品id!$A:$B,2,FALSE)&amp;",")</f>
        <v>3331,</v>
      </c>
      <c r="AE160" s="17" t="str">
        <f>IF(H160="","",VLOOKUP(H160,物品id!$A:$B,2,FALSE)&amp;",")</f>
        <v>3321,</v>
      </c>
      <c r="AF160" s="17" t="str">
        <f>IF(I160="","",VLOOKUP(I160,物品id!$A:$B,2,FALSE)&amp;",")</f>
        <v>3341,</v>
      </c>
      <c r="AG160" s="47" t="str">
        <f t="shared" si="356"/>
        <v>3331,3321,3341,</v>
      </c>
      <c r="AH160" s="47" t="str">
        <f t="shared" si="357"/>
        <v>[3331,3321,3341]</v>
      </c>
      <c r="AI160" s="17" t="str">
        <f t="shared" si="290"/>
        <v>3,</v>
      </c>
      <c r="AJ160" s="17" t="str">
        <f t="shared" si="291"/>
        <v>3,</v>
      </c>
      <c r="AK160" s="17" t="str">
        <f t="shared" si="292"/>
        <v>3,</v>
      </c>
      <c r="AL160" s="47" t="str">
        <f t="shared" si="358"/>
        <v>3,3,3,</v>
      </c>
      <c r="AM160" s="47" t="str">
        <f t="shared" si="359"/>
        <v>[3,3,3]</v>
      </c>
      <c r="AN160" s="47" t="str">
        <f>VLOOKUP(T160,物品id!$A:$B,2,FALSE)&amp;","</f>
        <v>102,</v>
      </c>
      <c r="AO160" s="17" t="str">
        <f t="shared" si="298"/>
        <v>[102]</v>
      </c>
      <c r="AP160" s="47" t="str">
        <f t="shared" si="293"/>
        <v>240,</v>
      </c>
      <c r="AQ160" s="17" t="str">
        <f t="shared" si="299"/>
        <v>[240]</v>
      </c>
      <c r="AR160" s="47" t="str">
        <f>IF(V160="","",VLOOKUP(V160,物品id!$A:$B,2,FALSE)&amp;",")</f>
        <v>20033,</v>
      </c>
      <c r="AS160" s="47" t="str">
        <f>IF(W160="","",VLOOKUP(W160,物品id!$A:$B,2,FALSE)&amp;",")</f>
        <v>102,</v>
      </c>
      <c r="AT160" s="47" t="str">
        <f t="shared" si="360"/>
        <v>20033,102,</v>
      </c>
      <c r="AU160" s="47" t="str">
        <f t="shared" si="361"/>
        <v>[20033,102]</v>
      </c>
      <c r="AV160" s="47" t="str">
        <f t="shared" si="294"/>
        <v>2,</v>
      </c>
      <c r="AW160" s="47" t="str">
        <f t="shared" si="295"/>
        <v>1440,</v>
      </c>
      <c r="AX160" s="47" t="str">
        <f t="shared" si="362"/>
        <v>2,1440,</v>
      </c>
      <c r="AY160" s="47" t="str">
        <f t="shared" si="363"/>
        <v>[2,1440]</v>
      </c>
    </row>
    <row r="161" spans="1:51" s="47" customFormat="1" x14ac:dyDescent="0.2">
      <c r="A161" s="47">
        <v>6</v>
      </c>
      <c r="B161" s="47" t="s">
        <v>1032</v>
      </c>
      <c r="C161" s="47">
        <v>48</v>
      </c>
      <c r="D161" s="34" t="s">
        <v>1153</v>
      </c>
      <c r="E161" s="47" t="s">
        <v>1017</v>
      </c>
      <c r="F161" s="47">
        <v>3</v>
      </c>
      <c r="G161" s="47" t="s">
        <v>808</v>
      </c>
      <c r="H161" s="47" t="s">
        <v>807</v>
      </c>
      <c r="I161" s="47" t="s">
        <v>809</v>
      </c>
      <c r="J161" s="17">
        <v>0</v>
      </c>
      <c r="K161" s="17">
        <v>0</v>
      </c>
      <c r="L161" s="17">
        <v>0</v>
      </c>
      <c r="M161" s="35">
        <f>(IF(G161="",挂机玩法规划!$L$2,VLOOKUP(G161,物品id!A:D,4,FALSE)*IF(J161=0,1,4))*IF(J161=0,1,J161)+IF(H161="",挂机玩法规划!$L$2,VLOOKUP(H161,物品id!A:D,4,FALSE)*IF(K161=0,1,4))*IF(K161=0,1,K161)+IF(I161="",挂机玩法规划!$L$2,VLOOKUP(I161,物品id!A:D,4,FALSE)*IF(L161=0,1,4))*IF(L161=0,1,L161))/O161</f>
        <v>0.25</v>
      </c>
      <c r="N161" s="44">
        <f>IF(G161="",挂机玩法规划!$L$2,VLOOKUP(G161,物品id!A:D,4,FALSE)*4)+IF(H161="",挂机玩法规划!$L$2,VLOOKUP(H161,物品id!A:D,4,FALSE)*4)+IF(I161="",挂机玩法规划!$L$2,VLOOKUP(I161,物品id!A:D,4,FALSE)*4)</f>
        <v>360</v>
      </c>
      <c r="O161" s="48">
        <v>360</v>
      </c>
      <c r="P161" s="47">
        <v>3</v>
      </c>
      <c r="Q161" s="47">
        <v>3</v>
      </c>
      <c r="R161" s="47">
        <v>3</v>
      </c>
      <c r="S161" s="47">
        <v>480</v>
      </c>
      <c r="T161" s="47" t="s">
        <v>835</v>
      </c>
      <c r="U161" s="47">
        <v>480</v>
      </c>
      <c r="V161" s="47" t="s">
        <v>837</v>
      </c>
      <c r="W161" s="47" t="s">
        <v>200</v>
      </c>
      <c r="X161" s="47">
        <v>3</v>
      </c>
      <c r="Y161" s="47">
        <f>U161*挂机玩法规划!$O$4*VLOOKUP(E161,挂机玩法规划!$G$2:$I$17,3,FALSE)</f>
        <v>2880</v>
      </c>
      <c r="Z161" s="17">
        <f t="shared" si="296"/>
        <v>0.75</v>
      </c>
      <c r="AA161" s="17">
        <f t="shared" si="297"/>
        <v>720</v>
      </c>
      <c r="AB161" s="17">
        <f>(VLOOKUP(V161,物品id!A:E,5,FALSE)*挂机玩法填表!Z161+VLOOKUP(挂机玩法填表!W161,物品id!A:E,5,FALSE)*挂机玩法填表!AA161)/(U161/60)</f>
        <v>13.23</v>
      </c>
      <c r="AD161" s="17" t="str">
        <f>IF(G161="","",VLOOKUP(G161,物品id!$A:$B,2,FALSE)&amp;",")</f>
        <v>1331,</v>
      </c>
      <c r="AE161" s="17" t="str">
        <f>IF(H161="","",VLOOKUP(H161,物品id!$A:$B,2,FALSE)&amp;",")</f>
        <v>1321,</v>
      </c>
      <c r="AF161" s="17" t="str">
        <f>IF(I161="","",VLOOKUP(I161,物品id!$A:$B,2,FALSE)&amp;",")</f>
        <v>1341,</v>
      </c>
      <c r="AG161" s="47" t="str">
        <f t="shared" si="356"/>
        <v>1331,1321,1341,</v>
      </c>
      <c r="AH161" s="47" t="str">
        <f t="shared" si="357"/>
        <v>[1331,1321,1341]</v>
      </c>
      <c r="AI161" s="17" t="str">
        <f t="shared" si="290"/>
        <v>3,</v>
      </c>
      <c r="AJ161" s="17" t="str">
        <f t="shared" si="291"/>
        <v>3,</v>
      </c>
      <c r="AK161" s="17" t="str">
        <f t="shared" si="292"/>
        <v>3,</v>
      </c>
      <c r="AL161" s="47" t="str">
        <f t="shared" si="358"/>
        <v>3,3,3,</v>
      </c>
      <c r="AM161" s="47" t="str">
        <f t="shared" si="359"/>
        <v>[3,3,3]</v>
      </c>
      <c r="AN161" s="47" t="str">
        <f>VLOOKUP(T161,物品id!$A:$B,2,FALSE)&amp;","</f>
        <v>102,</v>
      </c>
      <c r="AO161" s="17" t="str">
        <f t="shared" si="298"/>
        <v>[102]</v>
      </c>
      <c r="AP161" s="47" t="str">
        <f t="shared" si="293"/>
        <v>480,</v>
      </c>
      <c r="AQ161" s="17" t="str">
        <f t="shared" si="299"/>
        <v>[480]</v>
      </c>
      <c r="AR161" s="47" t="str">
        <f>IF(V161="","",VLOOKUP(V161,物品id!$A:$B,2,FALSE)&amp;",")</f>
        <v>20033,</v>
      </c>
      <c r="AS161" s="47" t="str">
        <f>IF(W161="","",VLOOKUP(W161,物品id!$A:$B,2,FALSE)&amp;",")</f>
        <v>102,</v>
      </c>
      <c r="AT161" s="47" t="str">
        <f t="shared" si="360"/>
        <v>20033,102,</v>
      </c>
      <c r="AU161" s="47" t="str">
        <f t="shared" si="361"/>
        <v>[20033,102]</v>
      </c>
      <c r="AV161" s="47" t="str">
        <f t="shared" si="294"/>
        <v>3,</v>
      </c>
      <c r="AW161" s="47" t="str">
        <f t="shared" si="295"/>
        <v>2880,</v>
      </c>
      <c r="AX161" s="47" t="str">
        <f t="shared" si="362"/>
        <v>3,2880,</v>
      </c>
      <c r="AY161" s="47" t="str">
        <f t="shared" si="363"/>
        <v>[3,2880]</v>
      </c>
    </row>
    <row r="162" spans="1:51" s="47" customFormat="1" x14ac:dyDescent="0.2">
      <c r="A162" s="47">
        <v>6</v>
      </c>
      <c r="B162" s="47" t="s">
        <v>1032</v>
      </c>
      <c r="C162" s="47">
        <v>48</v>
      </c>
      <c r="D162" s="34" t="s">
        <v>1153</v>
      </c>
      <c r="E162" s="47" t="s">
        <v>1017</v>
      </c>
      <c r="F162" s="47">
        <v>3</v>
      </c>
      <c r="G162" s="47" t="s">
        <v>819</v>
      </c>
      <c r="H162" s="47" t="s">
        <v>818</v>
      </c>
      <c r="I162" s="47" t="s">
        <v>221</v>
      </c>
      <c r="J162" s="17">
        <v>0</v>
      </c>
      <c r="K162" s="17">
        <v>0</v>
      </c>
      <c r="L162" s="17">
        <v>0</v>
      </c>
      <c r="M162" s="35">
        <f>(IF(G162="",挂机玩法规划!$L$2,VLOOKUP(G162,物品id!A:D,4,FALSE)*IF(J162=0,1,4))*IF(J162=0,1,J162)+IF(H162="",挂机玩法规划!$L$2,VLOOKUP(H162,物品id!A:D,4,FALSE)*IF(K162=0,1,4))*IF(K162=0,1,K162)+IF(I162="",挂机玩法规划!$L$2,VLOOKUP(I162,物品id!A:D,4,FALSE)*IF(L162=0,1,4))*IF(L162=0,1,L162))/O162</f>
        <v>0.25</v>
      </c>
      <c r="N162" s="44">
        <f>IF(G162="",挂机玩法规划!$L$2,VLOOKUP(G162,物品id!A:D,4,FALSE)*4)+IF(H162="",挂机玩法规划!$L$2,VLOOKUP(H162,物品id!A:D,4,FALSE)*4)+IF(I162="",挂机玩法规划!$L$2,VLOOKUP(I162,物品id!A:D,4,FALSE)*4)</f>
        <v>360</v>
      </c>
      <c r="O162" s="48">
        <v>360</v>
      </c>
      <c r="P162" s="47">
        <v>3</v>
      </c>
      <c r="Q162" s="47">
        <v>3</v>
      </c>
      <c r="R162" s="47">
        <v>3</v>
      </c>
      <c r="S162" s="47">
        <v>480</v>
      </c>
      <c r="T162" s="47" t="s">
        <v>835</v>
      </c>
      <c r="U162" s="47">
        <v>480</v>
      </c>
      <c r="V162" s="47" t="s">
        <v>837</v>
      </c>
      <c r="W162" s="47" t="s">
        <v>200</v>
      </c>
      <c r="X162" s="47">
        <v>3</v>
      </c>
      <c r="Y162" s="47">
        <f>U162*挂机玩法规划!$O$4*VLOOKUP(E162,挂机玩法规划!$G$2:$I$17,3,FALSE)</f>
        <v>2880</v>
      </c>
      <c r="Z162" s="17">
        <f t="shared" si="296"/>
        <v>0.75</v>
      </c>
      <c r="AA162" s="17">
        <f t="shared" si="297"/>
        <v>720</v>
      </c>
      <c r="AB162" s="17">
        <f>(VLOOKUP(V162,物品id!A:E,5,FALSE)*挂机玩法填表!Z162+VLOOKUP(挂机玩法填表!W162,物品id!A:E,5,FALSE)*挂机玩法填表!AA162)/(U162/60)</f>
        <v>13.23</v>
      </c>
      <c r="AD162" s="17" t="str">
        <f>IF(G162="","",VLOOKUP(G162,物品id!$A:$B,2,FALSE)&amp;",")</f>
        <v>2331,</v>
      </c>
      <c r="AE162" s="17" t="str">
        <f>IF(H162="","",VLOOKUP(H162,物品id!$A:$B,2,FALSE)&amp;",")</f>
        <v>2321,</v>
      </c>
      <c r="AF162" s="17" t="str">
        <f>IF(I162="","",VLOOKUP(I162,物品id!$A:$B,2,FALSE)&amp;",")</f>
        <v>2341,</v>
      </c>
      <c r="AG162" s="47" t="str">
        <f t="shared" si="356"/>
        <v>2331,2321,2341,</v>
      </c>
      <c r="AH162" s="47" t="str">
        <f t="shared" si="357"/>
        <v>[2331,2321,2341]</v>
      </c>
      <c r="AI162" s="17" t="str">
        <f t="shared" ref="AI162:AI194" si="364">IF(P162="","",P162&amp;",")</f>
        <v>3,</v>
      </c>
      <c r="AJ162" s="17" t="str">
        <f t="shared" ref="AJ162:AJ194" si="365">IF(Q162="","",Q162&amp;",")</f>
        <v>3,</v>
      </c>
      <c r="AK162" s="17" t="str">
        <f t="shared" ref="AK162:AK194" si="366">IF(R162="","",R162&amp;",")</f>
        <v>3,</v>
      </c>
      <c r="AL162" s="47" t="str">
        <f t="shared" si="358"/>
        <v>3,3,3,</v>
      </c>
      <c r="AM162" s="47" t="str">
        <f t="shared" si="359"/>
        <v>[3,3,3]</v>
      </c>
      <c r="AN162" s="47" t="str">
        <f>VLOOKUP(T162,物品id!$A:$B,2,FALSE)&amp;","</f>
        <v>102,</v>
      </c>
      <c r="AO162" s="17" t="str">
        <f t="shared" si="298"/>
        <v>[102]</v>
      </c>
      <c r="AP162" s="47" t="str">
        <f t="shared" si="293"/>
        <v>480,</v>
      </c>
      <c r="AQ162" s="17" t="str">
        <f t="shared" si="299"/>
        <v>[480]</v>
      </c>
      <c r="AR162" s="47" t="str">
        <f>IF(V162="","",VLOOKUP(V162,物品id!$A:$B,2,FALSE)&amp;",")</f>
        <v>20033,</v>
      </c>
      <c r="AS162" s="47" t="str">
        <f>IF(W162="","",VLOOKUP(W162,物品id!$A:$B,2,FALSE)&amp;",")</f>
        <v>102,</v>
      </c>
      <c r="AT162" s="47" t="str">
        <f t="shared" si="360"/>
        <v>20033,102,</v>
      </c>
      <c r="AU162" s="47" t="str">
        <f t="shared" si="361"/>
        <v>[20033,102]</v>
      </c>
      <c r="AV162" s="47" t="str">
        <f t="shared" si="294"/>
        <v>3,</v>
      </c>
      <c r="AW162" s="47" t="str">
        <f t="shared" si="295"/>
        <v>2880,</v>
      </c>
      <c r="AX162" s="47" t="str">
        <f t="shared" si="362"/>
        <v>3,2880,</v>
      </c>
      <c r="AY162" s="47" t="str">
        <f t="shared" si="363"/>
        <v>[3,2880]</v>
      </c>
    </row>
    <row r="163" spans="1:51" s="47" customFormat="1" x14ac:dyDescent="0.2">
      <c r="A163" s="47">
        <v>6</v>
      </c>
      <c r="B163" s="47" t="s">
        <v>1032</v>
      </c>
      <c r="C163" s="47">
        <v>48</v>
      </c>
      <c r="D163" s="34" t="s">
        <v>1153</v>
      </c>
      <c r="E163" s="47" t="s">
        <v>1017</v>
      </c>
      <c r="F163" s="47">
        <v>3</v>
      </c>
      <c r="G163" s="47" t="s">
        <v>829</v>
      </c>
      <c r="H163" s="47" t="s">
        <v>828</v>
      </c>
      <c r="I163" s="47" t="s">
        <v>830</v>
      </c>
      <c r="J163" s="17">
        <v>0</v>
      </c>
      <c r="K163" s="17">
        <v>0</v>
      </c>
      <c r="L163" s="17">
        <v>0</v>
      </c>
      <c r="M163" s="35">
        <f>(IF(G163="",挂机玩法规划!$L$2,VLOOKUP(G163,物品id!A:D,4,FALSE)*IF(J163=0,1,4))*IF(J163=0,1,J163)+IF(H163="",挂机玩法规划!$L$2,VLOOKUP(H163,物品id!A:D,4,FALSE)*IF(K163=0,1,4))*IF(K163=0,1,K163)+IF(I163="",挂机玩法规划!$L$2,VLOOKUP(I163,物品id!A:D,4,FALSE)*IF(L163=0,1,4))*IF(L163=0,1,L163))/O163</f>
        <v>0.25</v>
      </c>
      <c r="N163" s="44">
        <f>IF(G163="",挂机玩法规划!$L$2,VLOOKUP(G163,物品id!A:D,4,FALSE)*4)+IF(H163="",挂机玩法规划!$L$2,VLOOKUP(H163,物品id!A:D,4,FALSE)*4)+IF(I163="",挂机玩法规划!$L$2,VLOOKUP(I163,物品id!A:D,4,FALSE)*4)</f>
        <v>360</v>
      </c>
      <c r="O163" s="48">
        <v>360</v>
      </c>
      <c r="P163" s="47">
        <v>3</v>
      </c>
      <c r="Q163" s="47">
        <v>3</v>
      </c>
      <c r="R163" s="47">
        <v>3</v>
      </c>
      <c r="S163" s="47">
        <v>480</v>
      </c>
      <c r="T163" s="47" t="s">
        <v>835</v>
      </c>
      <c r="U163" s="47">
        <v>480</v>
      </c>
      <c r="V163" s="47" t="s">
        <v>837</v>
      </c>
      <c r="W163" s="47" t="s">
        <v>200</v>
      </c>
      <c r="X163" s="47">
        <v>3</v>
      </c>
      <c r="Y163" s="47">
        <f>U163*挂机玩法规划!$O$4*VLOOKUP(E163,挂机玩法规划!$G$2:$I$17,3,FALSE)</f>
        <v>2880</v>
      </c>
      <c r="Z163" s="17">
        <f t="shared" si="296"/>
        <v>0.75</v>
      </c>
      <c r="AA163" s="17">
        <f t="shared" si="297"/>
        <v>720</v>
      </c>
      <c r="AB163" s="17">
        <f>(VLOOKUP(V163,物品id!A:E,5,FALSE)*挂机玩法填表!Z163+VLOOKUP(挂机玩法填表!W163,物品id!A:E,5,FALSE)*挂机玩法填表!AA163)/(U163/60)</f>
        <v>13.23</v>
      </c>
      <c r="AD163" s="17" t="str">
        <f>IF(G163="","",VLOOKUP(G163,物品id!$A:$B,2,FALSE)&amp;",")</f>
        <v>3331,</v>
      </c>
      <c r="AE163" s="17" t="str">
        <f>IF(H163="","",VLOOKUP(H163,物品id!$A:$B,2,FALSE)&amp;",")</f>
        <v>3321,</v>
      </c>
      <c r="AF163" s="17" t="str">
        <f>IF(I163="","",VLOOKUP(I163,物品id!$A:$B,2,FALSE)&amp;",")</f>
        <v>3341,</v>
      </c>
      <c r="AG163" s="47" t="str">
        <f t="shared" si="356"/>
        <v>3331,3321,3341,</v>
      </c>
      <c r="AH163" s="47" t="str">
        <f t="shared" si="357"/>
        <v>[3331,3321,3341]</v>
      </c>
      <c r="AI163" s="17" t="str">
        <f t="shared" si="364"/>
        <v>3,</v>
      </c>
      <c r="AJ163" s="17" t="str">
        <f t="shared" si="365"/>
        <v>3,</v>
      </c>
      <c r="AK163" s="17" t="str">
        <f t="shared" si="366"/>
        <v>3,</v>
      </c>
      <c r="AL163" s="47" t="str">
        <f t="shared" si="358"/>
        <v>3,3,3,</v>
      </c>
      <c r="AM163" s="47" t="str">
        <f t="shared" si="359"/>
        <v>[3,3,3]</v>
      </c>
      <c r="AN163" s="47" t="str">
        <f>VLOOKUP(T163,物品id!$A:$B,2,FALSE)&amp;","</f>
        <v>102,</v>
      </c>
      <c r="AO163" s="17" t="str">
        <f t="shared" si="298"/>
        <v>[102]</v>
      </c>
      <c r="AP163" s="47" t="str">
        <f t="shared" si="293"/>
        <v>480,</v>
      </c>
      <c r="AQ163" s="17" t="str">
        <f t="shared" si="299"/>
        <v>[480]</v>
      </c>
      <c r="AR163" s="47" t="str">
        <f>IF(V163="","",VLOOKUP(V163,物品id!$A:$B,2,FALSE)&amp;",")</f>
        <v>20033,</v>
      </c>
      <c r="AS163" s="47" t="str">
        <f>IF(W163="","",VLOOKUP(W163,物品id!$A:$B,2,FALSE)&amp;",")</f>
        <v>102,</v>
      </c>
      <c r="AT163" s="47" t="str">
        <f t="shared" si="360"/>
        <v>20033,102,</v>
      </c>
      <c r="AU163" s="47" t="str">
        <f t="shared" si="361"/>
        <v>[20033,102]</v>
      </c>
      <c r="AV163" s="47" t="str">
        <f t="shared" si="294"/>
        <v>3,</v>
      </c>
      <c r="AW163" s="47" t="str">
        <f t="shared" si="295"/>
        <v>2880,</v>
      </c>
      <c r="AX163" s="47" t="str">
        <f t="shared" si="362"/>
        <v>3,2880,</v>
      </c>
      <c r="AY163" s="47" t="str">
        <f t="shared" si="363"/>
        <v>[3,2880]</v>
      </c>
    </row>
    <row r="164" spans="1:51" s="47" customFormat="1" x14ac:dyDescent="0.2">
      <c r="A164" s="47">
        <v>6</v>
      </c>
      <c r="B164" s="47" t="s">
        <v>1032</v>
      </c>
      <c r="C164" s="47">
        <v>48</v>
      </c>
      <c r="D164" s="34" t="s">
        <v>1153</v>
      </c>
      <c r="E164" s="47" t="s">
        <v>1017</v>
      </c>
      <c r="F164" s="47">
        <v>3</v>
      </c>
      <c r="G164" s="47" t="s">
        <v>808</v>
      </c>
      <c r="H164" s="47" t="s">
        <v>807</v>
      </c>
      <c r="I164" s="47" t="s">
        <v>809</v>
      </c>
      <c r="J164" s="17">
        <v>0</v>
      </c>
      <c r="K164" s="17">
        <v>0</v>
      </c>
      <c r="L164" s="17">
        <v>0</v>
      </c>
      <c r="M164" s="35">
        <f>(IF(G164="",挂机玩法规划!$L$2,VLOOKUP(G164,物品id!A:D,4,FALSE)*IF(J164=0,1,4))*IF(J164=0,1,J164)+IF(H164="",挂机玩法规划!$L$2,VLOOKUP(H164,物品id!A:D,4,FALSE)*IF(K164=0,1,4))*IF(K164=0,1,K164)+IF(I164="",挂机玩法规划!$L$2,VLOOKUP(I164,物品id!A:D,4,FALSE)*IF(L164=0,1,4))*IF(L164=0,1,L164))/O164</f>
        <v>0.25</v>
      </c>
      <c r="N164" s="44">
        <f>IF(G164="",挂机玩法规划!$L$2,VLOOKUP(G164,物品id!A:D,4,FALSE)*4)+IF(H164="",挂机玩法规划!$L$2,VLOOKUP(H164,物品id!A:D,4,FALSE)*4)+IF(I164="",挂机玩法规划!$L$2,VLOOKUP(I164,物品id!A:D,4,FALSE)*4)</f>
        <v>360</v>
      </c>
      <c r="O164" s="48">
        <v>360</v>
      </c>
      <c r="P164" s="47">
        <v>3</v>
      </c>
      <c r="Q164" s="47">
        <v>3</v>
      </c>
      <c r="R164" s="47">
        <v>3</v>
      </c>
      <c r="S164" s="47">
        <v>720</v>
      </c>
      <c r="T164" s="47" t="s">
        <v>835</v>
      </c>
      <c r="U164" s="47">
        <v>720</v>
      </c>
      <c r="V164" s="47" t="s">
        <v>837</v>
      </c>
      <c r="W164" s="47" t="s">
        <v>200</v>
      </c>
      <c r="X164" s="47">
        <v>4</v>
      </c>
      <c r="Y164" s="47">
        <f>U164*挂机玩法规划!$O$4*VLOOKUP(E164,挂机玩法规划!$G$2:$I$17,3,FALSE)</f>
        <v>4320</v>
      </c>
      <c r="Z164" s="17">
        <f t="shared" si="296"/>
        <v>1</v>
      </c>
      <c r="AA164" s="17">
        <f t="shared" si="297"/>
        <v>1080</v>
      </c>
      <c r="AB164" s="17">
        <f>(VLOOKUP(V164,物品id!A:E,5,FALSE)*挂机玩法填表!Z164+VLOOKUP(挂机玩法填表!W164,物品id!A:E,5,FALSE)*挂机玩法填表!AA164)/(U164/60)</f>
        <v>11.979999999999999</v>
      </c>
      <c r="AD164" s="17" t="str">
        <f>IF(G164="","",VLOOKUP(G164,物品id!$A:$B,2,FALSE)&amp;",")</f>
        <v>1331,</v>
      </c>
      <c r="AE164" s="17" t="str">
        <f>IF(H164="","",VLOOKUP(H164,物品id!$A:$B,2,FALSE)&amp;",")</f>
        <v>1321,</v>
      </c>
      <c r="AF164" s="17" t="str">
        <f>IF(I164="","",VLOOKUP(I164,物品id!$A:$B,2,FALSE)&amp;",")</f>
        <v>1341,</v>
      </c>
      <c r="AG164" s="47" t="str">
        <f t="shared" si="356"/>
        <v>1331,1321,1341,</v>
      </c>
      <c r="AH164" s="47" t="str">
        <f t="shared" si="357"/>
        <v>[1331,1321,1341]</v>
      </c>
      <c r="AI164" s="17" t="str">
        <f t="shared" si="364"/>
        <v>3,</v>
      </c>
      <c r="AJ164" s="17" t="str">
        <f t="shared" si="365"/>
        <v>3,</v>
      </c>
      <c r="AK164" s="17" t="str">
        <f t="shared" si="366"/>
        <v>3,</v>
      </c>
      <c r="AL164" s="47" t="str">
        <f t="shared" si="358"/>
        <v>3,3,3,</v>
      </c>
      <c r="AM164" s="47" t="str">
        <f t="shared" si="359"/>
        <v>[3,3,3]</v>
      </c>
      <c r="AN164" s="47" t="str">
        <f>VLOOKUP(T164,物品id!$A:$B,2,FALSE)&amp;","</f>
        <v>102,</v>
      </c>
      <c r="AO164" s="17" t="str">
        <f t="shared" si="298"/>
        <v>[102]</v>
      </c>
      <c r="AP164" s="47" t="str">
        <f t="shared" si="293"/>
        <v>720,</v>
      </c>
      <c r="AQ164" s="17" t="str">
        <f t="shared" si="299"/>
        <v>[720]</v>
      </c>
      <c r="AR164" s="47" t="str">
        <f>IF(V164="","",VLOOKUP(V164,物品id!$A:$B,2,FALSE)&amp;",")</f>
        <v>20033,</v>
      </c>
      <c r="AS164" s="47" t="str">
        <f>IF(W164="","",VLOOKUP(W164,物品id!$A:$B,2,FALSE)&amp;",")</f>
        <v>102,</v>
      </c>
      <c r="AT164" s="47" t="str">
        <f t="shared" si="360"/>
        <v>20033,102,</v>
      </c>
      <c r="AU164" s="47" t="str">
        <f t="shared" si="361"/>
        <v>[20033,102]</v>
      </c>
      <c r="AV164" s="47" t="str">
        <f t="shared" si="294"/>
        <v>4,</v>
      </c>
      <c r="AW164" s="47" t="str">
        <f t="shared" si="295"/>
        <v>4320,</v>
      </c>
      <c r="AX164" s="47" t="str">
        <f t="shared" si="362"/>
        <v>4,4320,</v>
      </c>
      <c r="AY164" s="47" t="str">
        <f t="shared" si="363"/>
        <v>[4,4320]</v>
      </c>
    </row>
    <row r="165" spans="1:51" s="47" customFormat="1" x14ac:dyDescent="0.2">
      <c r="A165" s="47">
        <v>6</v>
      </c>
      <c r="B165" s="47" t="s">
        <v>1032</v>
      </c>
      <c r="C165" s="47">
        <v>48</v>
      </c>
      <c r="D165" s="34" t="s">
        <v>1153</v>
      </c>
      <c r="E165" s="47" t="s">
        <v>1017</v>
      </c>
      <c r="F165" s="47">
        <v>3</v>
      </c>
      <c r="G165" s="47" t="s">
        <v>819</v>
      </c>
      <c r="H165" s="47" t="s">
        <v>818</v>
      </c>
      <c r="I165" s="47" t="s">
        <v>221</v>
      </c>
      <c r="J165" s="17">
        <v>0</v>
      </c>
      <c r="K165" s="17">
        <v>0</v>
      </c>
      <c r="L165" s="17">
        <v>0</v>
      </c>
      <c r="M165" s="35">
        <f>(IF(G165="",挂机玩法规划!$L$2,VLOOKUP(G165,物品id!A:D,4,FALSE)*IF(J165=0,1,4))*IF(J165=0,1,J165)+IF(H165="",挂机玩法规划!$L$2,VLOOKUP(H165,物品id!A:D,4,FALSE)*IF(K165=0,1,4))*IF(K165=0,1,K165)+IF(I165="",挂机玩法规划!$L$2,VLOOKUP(I165,物品id!A:D,4,FALSE)*IF(L165=0,1,4))*IF(L165=0,1,L165))/O165</f>
        <v>0.25</v>
      </c>
      <c r="N165" s="44">
        <f>IF(G165="",挂机玩法规划!$L$2,VLOOKUP(G165,物品id!A:D,4,FALSE)*4)+IF(H165="",挂机玩法规划!$L$2,VLOOKUP(H165,物品id!A:D,4,FALSE)*4)+IF(I165="",挂机玩法规划!$L$2,VLOOKUP(I165,物品id!A:D,4,FALSE)*4)</f>
        <v>360</v>
      </c>
      <c r="O165" s="48">
        <v>360</v>
      </c>
      <c r="P165" s="47">
        <v>3</v>
      </c>
      <c r="Q165" s="47">
        <v>3</v>
      </c>
      <c r="R165" s="47">
        <v>3</v>
      </c>
      <c r="S165" s="47">
        <v>720</v>
      </c>
      <c r="T165" s="47" t="s">
        <v>835</v>
      </c>
      <c r="U165" s="47">
        <v>720</v>
      </c>
      <c r="V165" s="47" t="s">
        <v>837</v>
      </c>
      <c r="W165" s="47" t="s">
        <v>200</v>
      </c>
      <c r="X165" s="47">
        <v>4</v>
      </c>
      <c r="Y165" s="47">
        <f>U165*挂机玩法规划!$O$4*VLOOKUP(E165,挂机玩法规划!$G$2:$I$17,3,FALSE)</f>
        <v>4320</v>
      </c>
      <c r="Z165" s="17">
        <f t="shared" si="296"/>
        <v>1</v>
      </c>
      <c r="AA165" s="17">
        <f t="shared" si="297"/>
        <v>1080</v>
      </c>
      <c r="AB165" s="17">
        <f>(VLOOKUP(V165,物品id!A:E,5,FALSE)*挂机玩法填表!Z165+VLOOKUP(挂机玩法填表!W165,物品id!A:E,5,FALSE)*挂机玩法填表!AA165)/(U165/60)</f>
        <v>11.979999999999999</v>
      </c>
      <c r="AD165" s="17" t="str">
        <f>IF(G165="","",VLOOKUP(G165,物品id!$A:$B,2,FALSE)&amp;",")</f>
        <v>2331,</v>
      </c>
      <c r="AE165" s="17" t="str">
        <f>IF(H165="","",VLOOKUP(H165,物品id!$A:$B,2,FALSE)&amp;",")</f>
        <v>2321,</v>
      </c>
      <c r="AF165" s="17" t="str">
        <f>IF(I165="","",VLOOKUP(I165,物品id!$A:$B,2,FALSE)&amp;",")</f>
        <v>2341,</v>
      </c>
      <c r="AG165" s="47" t="str">
        <f t="shared" ref="AG165:AG188" si="367">AD165&amp;AE165&amp;AF165</f>
        <v>2331,2321,2341,</v>
      </c>
      <c r="AH165" s="47" t="str">
        <f t="shared" ref="AH165:AH188" si="368">"["&amp;LEFT(AG165,LEN(AG165)-1)&amp;"]"</f>
        <v>[2331,2321,2341]</v>
      </c>
      <c r="AI165" s="17" t="str">
        <f t="shared" si="364"/>
        <v>3,</v>
      </c>
      <c r="AJ165" s="17" t="str">
        <f t="shared" si="365"/>
        <v>3,</v>
      </c>
      <c r="AK165" s="17" t="str">
        <f t="shared" si="366"/>
        <v>3,</v>
      </c>
      <c r="AL165" s="47" t="str">
        <f t="shared" ref="AL165:AL188" si="369">AI165&amp;AJ165&amp;AK165</f>
        <v>3,3,3,</v>
      </c>
      <c r="AM165" s="47" t="str">
        <f t="shared" ref="AM165:AM188" si="370">"["&amp;LEFT(AL165,LEN(AL165)-1)&amp;"]"</f>
        <v>[3,3,3]</v>
      </c>
      <c r="AN165" s="47" t="str">
        <f>VLOOKUP(T165,物品id!$A:$B,2,FALSE)&amp;","</f>
        <v>102,</v>
      </c>
      <c r="AO165" s="17" t="str">
        <f t="shared" si="298"/>
        <v>[102]</v>
      </c>
      <c r="AP165" s="47" t="str">
        <f t="shared" si="293"/>
        <v>720,</v>
      </c>
      <c r="AQ165" s="17" t="str">
        <f t="shared" si="299"/>
        <v>[720]</v>
      </c>
      <c r="AR165" s="47" t="str">
        <f>IF(V165="","",VLOOKUP(V165,物品id!$A:$B,2,FALSE)&amp;",")</f>
        <v>20033,</v>
      </c>
      <c r="AS165" s="47" t="str">
        <f>IF(W165="","",VLOOKUP(W165,物品id!$A:$B,2,FALSE)&amp;",")</f>
        <v>102,</v>
      </c>
      <c r="AT165" s="47" t="str">
        <f t="shared" ref="AT165:AT188" si="371">AR165&amp;AS165</f>
        <v>20033,102,</v>
      </c>
      <c r="AU165" s="47" t="str">
        <f t="shared" ref="AU165:AU188" si="372">"["&amp;LEFT(AT165,LEN(AT165)-1)&amp;"]"</f>
        <v>[20033,102]</v>
      </c>
      <c r="AV165" s="47" t="str">
        <f t="shared" si="294"/>
        <v>4,</v>
      </c>
      <c r="AW165" s="47" t="str">
        <f t="shared" si="295"/>
        <v>4320,</v>
      </c>
      <c r="AX165" s="47" t="str">
        <f t="shared" ref="AX165:AX188" si="373">AV165&amp;AW165</f>
        <v>4,4320,</v>
      </c>
      <c r="AY165" s="47" t="str">
        <f t="shared" ref="AY165:AY188" si="374">"["&amp;LEFT(AX165,LEN(AX165)-1)&amp;"]"</f>
        <v>[4,4320]</v>
      </c>
    </row>
    <row r="166" spans="1:51" s="47" customFormat="1" x14ac:dyDescent="0.2">
      <c r="A166" s="47">
        <v>6</v>
      </c>
      <c r="B166" s="47" t="s">
        <v>1032</v>
      </c>
      <c r="C166" s="47">
        <v>48</v>
      </c>
      <c r="D166" s="34" t="s">
        <v>1153</v>
      </c>
      <c r="E166" s="47" t="s">
        <v>1017</v>
      </c>
      <c r="F166" s="47">
        <v>3</v>
      </c>
      <c r="G166" s="47" t="s">
        <v>829</v>
      </c>
      <c r="H166" s="47" t="s">
        <v>828</v>
      </c>
      <c r="I166" s="47" t="s">
        <v>830</v>
      </c>
      <c r="J166" s="17">
        <v>0</v>
      </c>
      <c r="K166" s="17">
        <v>0</v>
      </c>
      <c r="L166" s="17">
        <v>0</v>
      </c>
      <c r="M166" s="35">
        <f>(IF(G166="",挂机玩法规划!$L$2,VLOOKUP(G166,物品id!A:D,4,FALSE)*IF(J166=0,1,4))*IF(J166=0,1,J166)+IF(H166="",挂机玩法规划!$L$2,VLOOKUP(H166,物品id!A:D,4,FALSE)*IF(K166=0,1,4))*IF(K166=0,1,K166)+IF(I166="",挂机玩法规划!$L$2,VLOOKUP(I166,物品id!A:D,4,FALSE)*IF(L166=0,1,4))*IF(L166=0,1,L166))/O166</f>
        <v>0.25</v>
      </c>
      <c r="N166" s="44">
        <f>IF(G166="",挂机玩法规划!$L$2,VLOOKUP(G166,物品id!A:D,4,FALSE)*4)+IF(H166="",挂机玩法规划!$L$2,VLOOKUP(H166,物品id!A:D,4,FALSE)*4)+IF(I166="",挂机玩法规划!$L$2,VLOOKUP(I166,物品id!A:D,4,FALSE)*4)</f>
        <v>360</v>
      </c>
      <c r="O166" s="48">
        <v>360</v>
      </c>
      <c r="P166" s="47">
        <v>3</v>
      </c>
      <c r="Q166" s="47">
        <v>3</v>
      </c>
      <c r="R166" s="47">
        <v>3</v>
      </c>
      <c r="S166" s="47">
        <v>720</v>
      </c>
      <c r="T166" s="47" t="s">
        <v>835</v>
      </c>
      <c r="U166" s="47">
        <v>720</v>
      </c>
      <c r="V166" s="47" t="s">
        <v>837</v>
      </c>
      <c r="W166" s="47" t="s">
        <v>200</v>
      </c>
      <c r="X166" s="47">
        <v>4</v>
      </c>
      <c r="Y166" s="47">
        <f>U166*挂机玩法规划!$O$4*VLOOKUP(E166,挂机玩法规划!$G$2:$I$17,3,FALSE)</f>
        <v>4320</v>
      </c>
      <c r="Z166" s="17">
        <f t="shared" si="296"/>
        <v>1</v>
      </c>
      <c r="AA166" s="17">
        <f t="shared" si="297"/>
        <v>1080</v>
      </c>
      <c r="AB166" s="17">
        <f>(VLOOKUP(V166,物品id!A:E,5,FALSE)*挂机玩法填表!Z166+VLOOKUP(挂机玩法填表!W166,物品id!A:E,5,FALSE)*挂机玩法填表!AA166)/(U166/60)</f>
        <v>11.979999999999999</v>
      </c>
      <c r="AD166" s="17" t="str">
        <f>IF(G166="","",VLOOKUP(G166,物品id!$A:$B,2,FALSE)&amp;",")</f>
        <v>3331,</v>
      </c>
      <c r="AE166" s="17" t="str">
        <f>IF(H166="","",VLOOKUP(H166,物品id!$A:$B,2,FALSE)&amp;",")</f>
        <v>3321,</v>
      </c>
      <c r="AF166" s="17" t="str">
        <f>IF(I166="","",VLOOKUP(I166,物品id!$A:$B,2,FALSE)&amp;",")</f>
        <v>3341,</v>
      </c>
      <c r="AG166" s="47" t="str">
        <f t="shared" si="367"/>
        <v>3331,3321,3341,</v>
      </c>
      <c r="AH166" s="47" t="str">
        <f t="shared" si="368"/>
        <v>[3331,3321,3341]</v>
      </c>
      <c r="AI166" s="17" t="str">
        <f t="shared" si="364"/>
        <v>3,</v>
      </c>
      <c r="AJ166" s="17" t="str">
        <f t="shared" si="365"/>
        <v>3,</v>
      </c>
      <c r="AK166" s="17" t="str">
        <f t="shared" si="366"/>
        <v>3,</v>
      </c>
      <c r="AL166" s="47" t="str">
        <f t="shared" si="369"/>
        <v>3,3,3,</v>
      </c>
      <c r="AM166" s="47" t="str">
        <f t="shared" si="370"/>
        <v>[3,3,3]</v>
      </c>
      <c r="AN166" s="47" t="str">
        <f>VLOOKUP(T166,物品id!$A:$B,2,FALSE)&amp;","</f>
        <v>102,</v>
      </c>
      <c r="AO166" s="17" t="str">
        <f t="shared" si="298"/>
        <v>[102]</v>
      </c>
      <c r="AP166" s="47" t="str">
        <f t="shared" si="293"/>
        <v>720,</v>
      </c>
      <c r="AQ166" s="17" t="str">
        <f t="shared" si="299"/>
        <v>[720]</v>
      </c>
      <c r="AR166" s="47" t="str">
        <f>IF(V166="","",VLOOKUP(V166,物品id!$A:$B,2,FALSE)&amp;",")</f>
        <v>20033,</v>
      </c>
      <c r="AS166" s="47" t="str">
        <f>IF(W166="","",VLOOKUP(W166,物品id!$A:$B,2,FALSE)&amp;",")</f>
        <v>102,</v>
      </c>
      <c r="AT166" s="47" t="str">
        <f t="shared" si="371"/>
        <v>20033,102,</v>
      </c>
      <c r="AU166" s="47" t="str">
        <f t="shared" si="372"/>
        <v>[20033,102]</v>
      </c>
      <c r="AV166" s="47" t="str">
        <f t="shared" si="294"/>
        <v>4,</v>
      </c>
      <c r="AW166" s="47" t="str">
        <f t="shared" si="295"/>
        <v>4320,</v>
      </c>
      <c r="AX166" s="47" t="str">
        <f t="shared" si="373"/>
        <v>4,4320,</v>
      </c>
      <c r="AY166" s="47" t="str">
        <f t="shared" si="374"/>
        <v>[4,4320]</v>
      </c>
    </row>
    <row r="167" spans="1:51" s="60" customFormat="1" x14ac:dyDescent="0.2">
      <c r="A167" s="60">
        <v>1</v>
      </c>
      <c r="B167" s="60" t="s">
        <v>1133</v>
      </c>
      <c r="C167" s="60">
        <v>49</v>
      </c>
      <c r="D167" s="34" t="s">
        <v>1154</v>
      </c>
      <c r="E167" s="60" t="s">
        <v>1016</v>
      </c>
      <c r="F167" s="60">
        <v>3</v>
      </c>
      <c r="G167" s="60" t="s">
        <v>805</v>
      </c>
      <c r="H167" s="60" t="s">
        <v>816</v>
      </c>
      <c r="J167" s="17">
        <v>0</v>
      </c>
      <c r="K167" s="17">
        <v>0</v>
      </c>
      <c r="L167" s="17">
        <v>1</v>
      </c>
      <c r="M167" s="35">
        <f>(IF(G167="",挂机玩法规划!$L$2,VLOOKUP(G167,物品id!A:D,4,FALSE)*IF(J167=0,1,4))*IF(J167=0,1,J167)+IF(H167="",挂机玩法规划!$L$2,VLOOKUP(H167,物品id!A:D,4,FALSE)*IF(K167=0,1,4))*IF(K167=0,1,K167)+IF(I167="",挂机玩法规划!$L$2,VLOOKUP(I167,物品id!A:D,4,FALSE)*IF(L167=0,1,4))*IF(L167=0,1,L167))/O167</f>
        <v>0.29411764705882354</v>
      </c>
      <c r="N167" s="44">
        <f>IF(G167="",挂机玩法规划!$L$2,VLOOKUP(G167,物品id!A:D,4,FALSE)*4)+IF(H167="",挂机玩法规划!$L$2,VLOOKUP(H167,物品id!A:D,4,FALSE)*4)+IF(I167="",挂机玩法规划!$L$2,VLOOKUP(I167,物品id!A:D,4,FALSE)*4)</f>
        <v>170</v>
      </c>
      <c r="O167" s="61">
        <v>170</v>
      </c>
      <c r="P167" s="60">
        <v>4</v>
      </c>
      <c r="Q167" s="60">
        <v>4</v>
      </c>
      <c r="R167" s="60" t="s">
        <v>1131</v>
      </c>
      <c r="S167" s="60">
        <v>120</v>
      </c>
      <c r="T167" s="60" t="s">
        <v>835</v>
      </c>
      <c r="U167" s="60">
        <v>120</v>
      </c>
      <c r="V167" s="60" t="s">
        <v>842</v>
      </c>
      <c r="W167" s="60" t="s">
        <v>200</v>
      </c>
      <c r="X167" s="60">
        <v>2</v>
      </c>
      <c r="Y167" s="60">
        <f>U167*挂机玩法规划!$O$4*VLOOKUP(E167,挂机玩法规划!$G$2:$I$17,3,FALSE)</f>
        <v>480</v>
      </c>
      <c r="Z167" s="17">
        <f t="shared" si="296"/>
        <v>0.58823529411764708</v>
      </c>
      <c r="AA167" s="17">
        <f t="shared" si="297"/>
        <v>141.1764705882353</v>
      </c>
      <c r="AB167" s="17">
        <f>(VLOOKUP(V167,物品id!A:E,5,FALSE)*挂机玩法填表!Z167+VLOOKUP(挂机玩法填表!W167,物品id!A:E,5,FALSE)*挂机玩法填表!AA167)/(U167/60)</f>
        <v>16.258823529411767</v>
      </c>
      <c r="AD167" s="60" t="str">
        <f>IF(G167="","",VLOOKUP(G167,物品id!$A:$B,2,FALSE)&amp;",")</f>
        <v>1221,</v>
      </c>
      <c r="AE167" s="60" t="str">
        <f>IF(H167="","",VLOOKUP(H167,物品id!$A:$B,2,FALSE)&amp;",")</f>
        <v>2221,</v>
      </c>
      <c r="AF167" s="60" t="str">
        <f>IF(I167="","",VLOOKUP(I167,物品id!$A:$B,2,FALSE)&amp;",")</f>
        <v/>
      </c>
      <c r="AG167" s="60" t="str">
        <f t="shared" si="367"/>
        <v>1221,2221,</v>
      </c>
      <c r="AH167" s="60" t="str">
        <f t="shared" si="368"/>
        <v>[1221,2221]</v>
      </c>
      <c r="AI167" s="17" t="str">
        <f t="shared" si="364"/>
        <v>4,</v>
      </c>
      <c r="AJ167" s="17" t="str">
        <f t="shared" si="365"/>
        <v>4,</v>
      </c>
      <c r="AK167" s="17" t="str">
        <f t="shared" si="366"/>
        <v/>
      </c>
      <c r="AL167" s="60" t="str">
        <f t="shared" si="369"/>
        <v>4,4,</v>
      </c>
      <c r="AM167" s="60" t="str">
        <f t="shared" si="370"/>
        <v>[4,4]</v>
      </c>
      <c r="AN167" s="60" t="str">
        <f>VLOOKUP(T167,物品id!$A:$B,2,FALSE)&amp;","</f>
        <v>102,</v>
      </c>
      <c r="AO167" s="17" t="str">
        <f t="shared" si="298"/>
        <v>[102]</v>
      </c>
      <c r="AP167" s="60" t="str">
        <f t="shared" si="293"/>
        <v>120,</v>
      </c>
      <c r="AQ167" s="17" t="str">
        <f t="shared" si="299"/>
        <v>[120]</v>
      </c>
      <c r="AR167" s="60" t="str">
        <f>IF(V167="","",VLOOKUP(V167,物品id!$A:$B,2,FALSE)&amp;",")</f>
        <v>20038,</v>
      </c>
      <c r="AS167" s="60" t="str">
        <f>IF(W167="","",VLOOKUP(W167,物品id!$A:$B,2,FALSE)&amp;",")</f>
        <v>102,</v>
      </c>
      <c r="AT167" s="60" t="str">
        <f t="shared" si="371"/>
        <v>20038,102,</v>
      </c>
      <c r="AU167" s="60" t="str">
        <f t="shared" si="372"/>
        <v>[20038,102]</v>
      </c>
      <c r="AV167" s="60" t="str">
        <f t="shared" si="294"/>
        <v>2,</v>
      </c>
      <c r="AW167" s="60" t="str">
        <f t="shared" si="295"/>
        <v>480,</v>
      </c>
      <c r="AX167" s="60" t="str">
        <f t="shared" si="373"/>
        <v>2,480,</v>
      </c>
      <c r="AY167" s="60" t="str">
        <f t="shared" si="374"/>
        <v>[2,480]</v>
      </c>
    </row>
    <row r="168" spans="1:51" s="60" customFormat="1" x14ac:dyDescent="0.2">
      <c r="A168" s="60">
        <v>1</v>
      </c>
      <c r="B168" s="60" t="s">
        <v>1133</v>
      </c>
      <c r="C168" s="60">
        <v>49</v>
      </c>
      <c r="D168" s="34" t="s">
        <v>1154</v>
      </c>
      <c r="E168" s="60" t="s">
        <v>1016</v>
      </c>
      <c r="F168" s="60">
        <v>3</v>
      </c>
      <c r="G168" s="60" t="s">
        <v>805</v>
      </c>
      <c r="H168" s="60" t="s">
        <v>1118</v>
      </c>
      <c r="J168" s="17">
        <v>0</v>
      </c>
      <c r="K168" s="17">
        <v>0</v>
      </c>
      <c r="L168" s="17">
        <v>1</v>
      </c>
      <c r="M168" s="35">
        <f>(IF(G168="",挂机玩法规划!$L$2,VLOOKUP(G168,物品id!A:D,4,FALSE)*IF(J168=0,1,4))*IF(J168=0,1,J168)+IF(H168="",挂机玩法规划!$L$2,VLOOKUP(H168,物品id!A:D,4,FALSE)*IF(K168=0,1,4))*IF(K168=0,1,K168)+IF(I168="",挂机玩法规划!$L$2,VLOOKUP(I168,物品id!A:D,4,FALSE)*IF(L168=0,1,4))*IF(L168=0,1,L168))/O168</f>
        <v>0.29411764705882354</v>
      </c>
      <c r="N168" s="44">
        <f>IF(G168="",挂机玩法规划!$L$2,VLOOKUP(G168,物品id!A:D,4,FALSE)*4)+IF(H168="",挂机玩法规划!$L$2,VLOOKUP(H168,物品id!A:D,4,FALSE)*4)+IF(I168="",挂机玩法规划!$L$2,VLOOKUP(I168,物品id!A:D,4,FALSE)*4)</f>
        <v>170</v>
      </c>
      <c r="O168" s="61">
        <v>170</v>
      </c>
      <c r="P168" s="60">
        <v>4</v>
      </c>
      <c r="Q168" s="60">
        <v>4</v>
      </c>
      <c r="R168" s="60" t="s">
        <v>1131</v>
      </c>
      <c r="S168" s="60">
        <v>120</v>
      </c>
      <c r="T168" s="60" t="s">
        <v>835</v>
      </c>
      <c r="U168" s="60">
        <v>120</v>
      </c>
      <c r="V168" s="60" t="s">
        <v>842</v>
      </c>
      <c r="W168" s="60" t="s">
        <v>200</v>
      </c>
      <c r="X168" s="60">
        <v>2</v>
      </c>
      <c r="Y168" s="60">
        <f>U168*挂机玩法规划!$O$4*VLOOKUP(E168,挂机玩法规划!$G$2:$I$17,3,FALSE)</f>
        <v>480</v>
      </c>
      <c r="Z168" s="17">
        <f t="shared" si="296"/>
        <v>0.58823529411764708</v>
      </c>
      <c r="AA168" s="17">
        <f t="shared" si="297"/>
        <v>141.1764705882353</v>
      </c>
      <c r="AB168" s="17">
        <f>(VLOOKUP(V168,物品id!A:E,5,FALSE)*挂机玩法填表!Z168+VLOOKUP(挂机玩法填表!W168,物品id!A:E,5,FALSE)*挂机玩法填表!AA168)/(U168/60)</f>
        <v>16.258823529411767</v>
      </c>
      <c r="AD168" s="60" t="str">
        <f>IF(G168="","",VLOOKUP(G168,物品id!$A:$B,2,FALSE)&amp;",")</f>
        <v>1221,</v>
      </c>
      <c r="AE168" s="60" t="str">
        <f>IF(H168="","",VLOOKUP(H168,物品id!$A:$B,2,FALSE)&amp;",")</f>
        <v>3221,</v>
      </c>
      <c r="AF168" s="60" t="str">
        <f>IF(I168="","",VLOOKUP(I168,物品id!$A:$B,2,FALSE)&amp;",")</f>
        <v/>
      </c>
      <c r="AG168" s="60" t="str">
        <f t="shared" si="367"/>
        <v>1221,3221,</v>
      </c>
      <c r="AH168" s="60" t="str">
        <f t="shared" si="368"/>
        <v>[1221,3221]</v>
      </c>
      <c r="AI168" s="17" t="str">
        <f t="shared" si="364"/>
        <v>4,</v>
      </c>
      <c r="AJ168" s="17" t="str">
        <f t="shared" si="365"/>
        <v>4,</v>
      </c>
      <c r="AK168" s="17" t="str">
        <f t="shared" si="366"/>
        <v/>
      </c>
      <c r="AL168" s="60" t="str">
        <f t="shared" si="369"/>
        <v>4,4,</v>
      </c>
      <c r="AM168" s="60" t="str">
        <f t="shared" si="370"/>
        <v>[4,4]</v>
      </c>
      <c r="AN168" s="60" t="str">
        <f>VLOOKUP(T168,物品id!$A:$B,2,FALSE)&amp;","</f>
        <v>102,</v>
      </c>
      <c r="AO168" s="17" t="str">
        <f t="shared" si="298"/>
        <v>[102]</v>
      </c>
      <c r="AP168" s="60" t="str">
        <f t="shared" si="293"/>
        <v>120,</v>
      </c>
      <c r="AQ168" s="17" t="str">
        <f t="shared" si="299"/>
        <v>[120]</v>
      </c>
      <c r="AR168" s="60" t="str">
        <f>IF(V168="","",VLOOKUP(V168,物品id!$A:$B,2,FALSE)&amp;",")</f>
        <v>20038,</v>
      </c>
      <c r="AS168" s="60" t="str">
        <f>IF(W168="","",VLOOKUP(W168,物品id!$A:$B,2,FALSE)&amp;",")</f>
        <v>102,</v>
      </c>
      <c r="AT168" s="60" t="str">
        <f t="shared" si="371"/>
        <v>20038,102,</v>
      </c>
      <c r="AU168" s="60" t="str">
        <f t="shared" si="372"/>
        <v>[20038,102]</v>
      </c>
      <c r="AV168" s="60" t="str">
        <f t="shared" si="294"/>
        <v>2,</v>
      </c>
      <c r="AW168" s="60" t="str">
        <f t="shared" si="295"/>
        <v>480,</v>
      </c>
      <c r="AX168" s="60" t="str">
        <f t="shared" si="373"/>
        <v>2,480,</v>
      </c>
      <c r="AY168" s="60" t="str">
        <f t="shared" si="374"/>
        <v>[2,480]</v>
      </c>
    </row>
    <row r="169" spans="1:51" s="60" customFormat="1" x14ac:dyDescent="0.2">
      <c r="A169" s="60">
        <v>1</v>
      </c>
      <c r="B169" s="60" t="s">
        <v>1132</v>
      </c>
      <c r="C169" s="60">
        <v>49</v>
      </c>
      <c r="D169" s="34" t="s">
        <v>1154</v>
      </c>
      <c r="E169" s="60" t="s">
        <v>1016</v>
      </c>
      <c r="F169" s="60">
        <v>3</v>
      </c>
      <c r="G169" s="60" t="s">
        <v>1117</v>
      </c>
      <c r="H169" s="60" t="s">
        <v>1118</v>
      </c>
      <c r="J169" s="17">
        <v>0</v>
      </c>
      <c r="K169" s="17">
        <v>0</v>
      </c>
      <c r="L169" s="17">
        <v>1</v>
      </c>
      <c r="M169" s="35">
        <f>(IF(G169="",挂机玩法规划!$L$2,VLOOKUP(G169,物品id!A:D,4,FALSE)*IF(J169=0,1,4))*IF(J169=0,1,J169)+IF(H169="",挂机玩法规划!$L$2,VLOOKUP(H169,物品id!A:D,4,FALSE)*IF(K169=0,1,4))*IF(K169=0,1,K169)+IF(I169="",挂机玩法规划!$L$2,VLOOKUP(I169,物品id!A:D,4,FALSE)*IF(L169=0,1,4))*IF(L169=0,1,L169))/O169</f>
        <v>0.29411764705882354</v>
      </c>
      <c r="N169" s="44">
        <f>IF(G169="",挂机玩法规划!$L$2,VLOOKUP(G169,物品id!A:D,4,FALSE)*4)+IF(H169="",挂机玩法规划!$L$2,VLOOKUP(H169,物品id!A:D,4,FALSE)*4)+IF(I169="",挂机玩法规划!$L$2,VLOOKUP(I169,物品id!A:D,4,FALSE)*4)</f>
        <v>170</v>
      </c>
      <c r="O169" s="61">
        <v>170</v>
      </c>
      <c r="P169" s="60">
        <v>4</v>
      </c>
      <c r="Q169" s="60">
        <v>4</v>
      </c>
      <c r="R169" s="60" t="s">
        <v>1131</v>
      </c>
      <c r="S169" s="60">
        <v>120</v>
      </c>
      <c r="T169" s="60" t="s">
        <v>835</v>
      </c>
      <c r="U169" s="60">
        <v>120</v>
      </c>
      <c r="V169" s="60" t="s">
        <v>842</v>
      </c>
      <c r="W169" s="60" t="s">
        <v>200</v>
      </c>
      <c r="X169" s="60">
        <v>2</v>
      </c>
      <c r="Y169" s="60">
        <f>U169*挂机玩法规划!$O$4*VLOOKUP(E169,挂机玩法规划!$G$2:$I$17,3,FALSE)</f>
        <v>480</v>
      </c>
      <c r="Z169" s="17">
        <f t="shared" si="296"/>
        <v>0.58823529411764708</v>
      </c>
      <c r="AA169" s="17">
        <f t="shared" si="297"/>
        <v>141.1764705882353</v>
      </c>
      <c r="AB169" s="17">
        <f>(VLOOKUP(V169,物品id!A:E,5,FALSE)*挂机玩法填表!Z169+VLOOKUP(挂机玩法填表!W169,物品id!A:E,5,FALSE)*挂机玩法填表!AA169)/(U169/60)</f>
        <v>16.258823529411767</v>
      </c>
      <c r="AD169" s="60" t="str">
        <f>IF(G169="","",VLOOKUP(G169,物品id!$A:$B,2,FALSE)&amp;",")</f>
        <v>2221,</v>
      </c>
      <c r="AE169" s="60" t="str">
        <f>IF(H169="","",VLOOKUP(H169,物品id!$A:$B,2,FALSE)&amp;",")</f>
        <v>3221,</v>
      </c>
      <c r="AF169" s="60" t="str">
        <f>IF(I169="","",VLOOKUP(I169,物品id!$A:$B,2,FALSE)&amp;",")</f>
        <v/>
      </c>
      <c r="AG169" s="60" t="str">
        <f t="shared" si="367"/>
        <v>2221,3221,</v>
      </c>
      <c r="AH169" s="60" t="str">
        <f t="shared" si="368"/>
        <v>[2221,3221]</v>
      </c>
      <c r="AI169" s="17" t="str">
        <f t="shared" si="364"/>
        <v>4,</v>
      </c>
      <c r="AJ169" s="17" t="str">
        <f t="shared" si="365"/>
        <v>4,</v>
      </c>
      <c r="AK169" s="17" t="str">
        <f t="shared" si="366"/>
        <v/>
      </c>
      <c r="AL169" s="60" t="str">
        <f t="shared" si="369"/>
        <v>4,4,</v>
      </c>
      <c r="AM169" s="60" t="str">
        <f t="shared" si="370"/>
        <v>[4,4]</v>
      </c>
      <c r="AN169" s="60" t="str">
        <f>VLOOKUP(T169,物品id!$A:$B,2,FALSE)&amp;","</f>
        <v>102,</v>
      </c>
      <c r="AO169" s="17" t="str">
        <f t="shared" si="298"/>
        <v>[102]</v>
      </c>
      <c r="AP169" s="60" t="str">
        <f t="shared" si="293"/>
        <v>120,</v>
      </c>
      <c r="AQ169" s="17" t="str">
        <f t="shared" si="299"/>
        <v>[120]</v>
      </c>
      <c r="AR169" s="60" t="str">
        <f>IF(V169="","",VLOOKUP(V169,物品id!$A:$B,2,FALSE)&amp;",")</f>
        <v>20038,</v>
      </c>
      <c r="AS169" s="60" t="str">
        <f>IF(W169="","",VLOOKUP(W169,物品id!$A:$B,2,FALSE)&amp;",")</f>
        <v>102,</v>
      </c>
      <c r="AT169" s="60" t="str">
        <f t="shared" si="371"/>
        <v>20038,102,</v>
      </c>
      <c r="AU169" s="60" t="str">
        <f t="shared" si="372"/>
        <v>[20038,102]</v>
      </c>
      <c r="AV169" s="60" t="str">
        <f t="shared" si="294"/>
        <v>2,</v>
      </c>
      <c r="AW169" s="60" t="str">
        <f t="shared" si="295"/>
        <v>480,</v>
      </c>
      <c r="AX169" s="60" t="str">
        <f t="shared" si="373"/>
        <v>2,480,</v>
      </c>
      <c r="AY169" s="60" t="str">
        <f t="shared" si="374"/>
        <v>[2,480]</v>
      </c>
    </row>
    <row r="170" spans="1:51" s="60" customFormat="1" x14ac:dyDescent="0.2">
      <c r="A170" s="60">
        <v>2</v>
      </c>
      <c r="B170" s="60" t="s">
        <v>1132</v>
      </c>
      <c r="C170" s="60">
        <v>50</v>
      </c>
      <c r="D170" s="34" t="s">
        <v>1155</v>
      </c>
      <c r="E170" s="60" t="s">
        <v>1016</v>
      </c>
      <c r="F170" s="60">
        <v>3</v>
      </c>
      <c r="G170" s="60" t="s">
        <v>1112</v>
      </c>
      <c r="H170" s="60" t="s">
        <v>1116</v>
      </c>
      <c r="J170" s="17">
        <v>1</v>
      </c>
      <c r="K170" s="17">
        <v>0</v>
      </c>
      <c r="L170" s="17">
        <v>1</v>
      </c>
      <c r="M170" s="35">
        <f>(IF(G170="",挂机玩法规划!$L$2,VLOOKUP(G170,物品id!A:D,4,FALSE)*IF(J170=0,1,4))*IF(J170=0,1,J170)+IF(H170="",挂机玩法规划!$L$2,VLOOKUP(H170,物品id!A:D,4,FALSE)*IF(K170=0,1,4))*IF(K170=0,1,K170)+IF(I170="",挂机玩法规划!$L$2,VLOOKUP(I170,物品id!A:D,4,FALSE)*IF(L170=0,1,4))*IF(L170=0,1,L170))/O170</f>
        <v>0.6470588235294118</v>
      </c>
      <c r="N170" s="44">
        <f>IF(G170="",挂机玩法规划!$L$2,VLOOKUP(G170,物品id!A:D,4,FALSE)*4)+IF(H170="",挂机玩法规划!$L$2,VLOOKUP(H170,物品id!A:D,4,FALSE)*4)+IF(I170="",挂机玩法规划!$L$2,VLOOKUP(I170,物品id!A:D,4,FALSE)*4)</f>
        <v>170</v>
      </c>
      <c r="O170" s="61">
        <v>170</v>
      </c>
      <c r="P170" s="60">
        <v>4</v>
      </c>
      <c r="Q170" s="60">
        <v>4</v>
      </c>
      <c r="R170" s="60" t="s">
        <v>1131</v>
      </c>
      <c r="S170" s="60">
        <v>240</v>
      </c>
      <c r="T170" s="60" t="s">
        <v>835</v>
      </c>
      <c r="U170" s="60">
        <v>240</v>
      </c>
      <c r="V170" s="60" t="s">
        <v>841</v>
      </c>
      <c r="W170" s="60" t="s">
        <v>200</v>
      </c>
      <c r="X170" s="60">
        <v>1</v>
      </c>
      <c r="Y170" s="60">
        <f>U170*挂机玩法规划!$O$4*VLOOKUP(E170,挂机玩法规划!$G$2:$I$17,3,FALSE)</f>
        <v>960</v>
      </c>
      <c r="Z170" s="17">
        <f t="shared" si="296"/>
        <v>0.6470588235294118</v>
      </c>
      <c r="AA170" s="17">
        <f t="shared" si="297"/>
        <v>621.17647058823536</v>
      </c>
      <c r="AB170" s="17">
        <f>(VLOOKUP(V170,物品id!A:E,5,FALSE)*挂机玩法填表!Z170+VLOOKUP(挂机玩法填表!W170,物品id!A:E,5,FALSE)*挂机玩法填表!AA170)/(U170/60)</f>
        <v>19.592941176470589</v>
      </c>
      <c r="AD170" s="60" t="str">
        <f>IF(G170="","",VLOOKUP(G170,物品id!$A:$B,2,FALSE)&amp;",")</f>
        <v>1211,</v>
      </c>
      <c r="AE170" s="60" t="str">
        <f>IF(H170="","",VLOOKUP(H170,物品id!$A:$B,2,FALSE)&amp;",")</f>
        <v>1221,</v>
      </c>
      <c r="AF170" s="60" t="str">
        <f>IF(I170="","",VLOOKUP(I170,物品id!$A:$B,2,FALSE)&amp;",")</f>
        <v/>
      </c>
      <c r="AG170" s="60" t="str">
        <f t="shared" si="367"/>
        <v>1211,1221,</v>
      </c>
      <c r="AH170" s="60" t="str">
        <f t="shared" si="368"/>
        <v>[1211,1221]</v>
      </c>
      <c r="AI170" s="17" t="str">
        <f t="shared" si="364"/>
        <v>4,</v>
      </c>
      <c r="AJ170" s="17" t="str">
        <f t="shared" si="365"/>
        <v>4,</v>
      </c>
      <c r="AK170" s="17" t="str">
        <f t="shared" si="366"/>
        <v/>
      </c>
      <c r="AL170" s="60" t="str">
        <f t="shared" si="369"/>
        <v>4,4,</v>
      </c>
      <c r="AM170" s="60" t="str">
        <f t="shared" si="370"/>
        <v>[4,4]</v>
      </c>
      <c r="AN170" s="60" t="str">
        <f>VLOOKUP(T170,物品id!$A:$B,2,FALSE)&amp;","</f>
        <v>102,</v>
      </c>
      <c r="AO170" s="17" t="str">
        <f t="shared" si="298"/>
        <v>[102]</v>
      </c>
      <c r="AP170" s="60" t="str">
        <f t="shared" si="293"/>
        <v>240,</v>
      </c>
      <c r="AQ170" s="17" t="str">
        <f t="shared" si="299"/>
        <v>[240]</v>
      </c>
      <c r="AR170" s="60" t="str">
        <f>IF(V170="","",VLOOKUP(V170,物品id!$A:$B,2,FALSE)&amp;",")</f>
        <v>20037,</v>
      </c>
      <c r="AS170" s="60" t="str">
        <f>IF(W170="","",VLOOKUP(W170,物品id!$A:$B,2,FALSE)&amp;",")</f>
        <v>102,</v>
      </c>
      <c r="AT170" s="60" t="str">
        <f t="shared" si="371"/>
        <v>20037,102,</v>
      </c>
      <c r="AU170" s="60" t="str">
        <f t="shared" si="372"/>
        <v>[20037,102]</v>
      </c>
      <c r="AV170" s="60" t="str">
        <f t="shared" si="294"/>
        <v>1,</v>
      </c>
      <c r="AW170" s="60" t="str">
        <f t="shared" si="295"/>
        <v>960,</v>
      </c>
      <c r="AX170" s="60" t="str">
        <f t="shared" si="373"/>
        <v>1,960,</v>
      </c>
      <c r="AY170" s="60" t="str">
        <f t="shared" si="374"/>
        <v>[1,960]</v>
      </c>
    </row>
    <row r="171" spans="1:51" s="60" customFormat="1" x14ac:dyDescent="0.2">
      <c r="A171" s="60">
        <v>2</v>
      </c>
      <c r="B171" s="60" t="s">
        <v>1132</v>
      </c>
      <c r="C171" s="60">
        <v>50</v>
      </c>
      <c r="D171" s="34" t="s">
        <v>1155</v>
      </c>
      <c r="E171" s="60" t="s">
        <v>1016</v>
      </c>
      <c r="F171" s="60">
        <v>3</v>
      </c>
      <c r="G171" s="60" t="s">
        <v>1110</v>
      </c>
      <c r="H171" s="60" t="s">
        <v>816</v>
      </c>
      <c r="J171" s="17">
        <v>1</v>
      </c>
      <c r="K171" s="17">
        <v>0</v>
      </c>
      <c r="L171" s="17">
        <v>1</v>
      </c>
      <c r="M171" s="35">
        <f>(IF(G171="",挂机玩法规划!$L$2,VLOOKUP(G171,物品id!A:D,4,FALSE)*IF(J171=0,1,4))*IF(J171=0,1,J171)+IF(H171="",挂机玩法规划!$L$2,VLOOKUP(H171,物品id!A:D,4,FALSE)*IF(K171=0,1,4))*IF(K171=0,1,K171)+IF(I171="",挂机玩法规划!$L$2,VLOOKUP(I171,物品id!A:D,4,FALSE)*IF(L171=0,1,4))*IF(L171=0,1,L171))/O171</f>
        <v>0.6470588235294118</v>
      </c>
      <c r="N171" s="44">
        <f>IF(G171="",挂机玩法规划!$L$2,VLOOKUP(G171,物品id!A:D,4,FALSE)*4)+IF(H171="",挂机玩法规划!$L$2,VLOOKUP(H171,物品id!A:D,4,FALSE)*4)+IF(I171="",挂机玩法规划!$L$2,VLOOKUP(I171,物品id!A:D,4,FALSE)*4)</f>
        <v>170</v>
      </c>
      <c r="O171" s="61">
        <v>170</v>
      </c>
      <c r="P171" s="60">
        <v>4</v>
      </c>
      <c r="Q171" s="60">
        <v>4</v>
      </c>
      <c r="R171" s="60" t="s">
        <v>1131</v>
      </c>
      <c r="S171" s="60">
        <v>240</v>
      </c>
      <c r="T171" s="60" t="s">
        <v>835</v>
      </c>
      <c r="U171" s="60">
        <v>240</v>
      </c>
      <c r="V171" s="60" t="s">
        <v>841</v>
      </c>
      <c r="W171" s="60" t="s">
        <v>200</v>
      </c>
      <c r="X171" s="60">
        <v>1</v>
      </c>
      <c r="Y171" s="60">
        <f>U171*挂机玩法规划!$O$4*VLOOKUP(E171,挂机玩法规划!$G$2:$I$17,3,FALSE)</f>
        <v>960</v>
      </c>
      <c r="Z171" s="17">
        <f t="shared" si="296"/>
        <v>0.6470588235294118</v>
      </c>
      <c r="AA171" s="17">
        <f t="shared" si="297"/>
        <v>621.17647058823536</v>
      </c>
      <c r="AB171" s="17">
        <f>(VLOOKUP(V171,物品id!A:E,5,FALSE)*挂机玩法填表!Z171+VLOOKUP(挂机玩法填表!W171,物品id!A:E,5,FALSE)*挂机玩法填表!AA171)/(U171/60)</f>
        <v>19.592941176470589</v>
      </c>
      <c r="AD171" s="60" t="str">
        <f>IF(G171="","",VLOOKUP(G171,物品id!$A:$B,2,FALSE)&amp;",")</f>
        <v>2211,</v>
      </c>
      <c r="AE171" s="60" t="str">
        <f>IF(H171="","",VLOOKUP(H171,物品id!$A:$B,2,FALSE)&amp;",")</f>
        <v>2221,</v>
      </c>
      <c r="AF171" s="60" t="str">
        <f>IF(I171="","",VLOOKUP(I171,物品id!$A:$B,2,FALSE)&amp;",")</f>
        <v/>
      </c>
      <c r="AG171" s="60" t="str">
        <f t="shared" si="367"/>
        <v>2211,2221,</v>
      </c>
      <c r="AH171" s="60" t="str">
        <f t="shared" si="368"/>
        <v>[2211,2221]</v>
      </c>
      <c r="AI171" s="17" t="str">
        <f t="shared" si="364"/>
        <v>4,</v>
      </c>
      <c r="AJ171" s="17" t="str">
        <f t="shared" si="365"/>
        <v>4,</v>
      </c>
      <c r="AK171" s="17" t="str">
        <f t="shared" si="366"/>
        <v/>
      </c>
      <c r="AL171" s="60" t="str">
        <f t="shared" si="369"/>
        <v>4,4,</v>
      </c>
      <c r="AM171" s="60" t="str">
        <f t="shared" si="370"/>
        <v>[4,4]</v>
      </c>
      <c r="AN171" s="60" t="str">
        <f>VLOOKUP(T171,物品id!$A:$B,2,FALSE)&amp;","</f>
        <v>102,</v>
      </c>
      <c r="AO171" s="17" t="str">
        <f t="shared" si="298"/>
        <v>[102]</v>
      </c>
      <c r="AP171" s="60" t="str">
        <f t="shared" si="293"/>
        <v>240,</v>
      </c>
      <c r="AQ171" s="17" t="str">
        <f t="shared" si="299"/>
        <v>[240]</v>
      </c>
      <c r="AR171" s="60" t="str">
        <f>IF(V171="","",VLOOKUP(V171,物品id!$A:$B,2,FALSE)&amp;",")</f>
        <v>20037,</v>
      </c>
      <c r="AS171" s="60" t="str">
        <f>IF(W171="","",VLOOKUP(W171,物品id!$A:$B,2,FALSE)&amp;",")</f>
        <v>102,</v>
      </c>
      <c r="AT171" s="60" t="str">
        <f t="shared" si="371"/>
        <v>20037,102,</v>
      </c>
      <c r="AU171" s="60" t="str">
        <f t="shared" si="372"/>
        <v>[20037,102]</v>
      </c>
      <c r="AV171" s="60" t="str">
        <f t="shared" si="294"/>
        <v>1,</v>
      </c>
      <c r="AW171" s="60" t="str">
        <f t="shared" si="295"/>
        <v>960,</v>
      </c>
      <c r="AX171" s="60" t="str">
        <f t="shared" si="373"/>
        <v>1,960,</v>
      </c>
      <c r="AY171" s="60" t="str">
        <f t="shared" si="374"/>
        <v>[1,960]</v>
      </c>
    </row>
    <row r="172" spans="1:51" s="60" customFormat="1" x14ac:dyDescent="0.2">
      <c r="A172" s="60">
        <v>2</v>
      </c>
      <c r="B172" s="60" t="s">
        <v>1132</v>
      </c>
      <c r="C172" s="60">
        <v>50</v>
      </c>
      <c r="D172" s="34" t="s">
        <v>1155</v>
      </c>
      <c r="E172" s="60" t="s">
        <v>1016</v>
      </c>
      <c r="F172" s="60">
        <v>3</v>
      </c>
      <c r="G172" s="60" t="s">
        <v>1111</v>
      </c>
      <c r="H172" s="60" t="s">
        <v>1118</v>
      </c>
      <c r="J172" s="17">
        <v>1</v>
      </c>
      <c r="K172" s="17">
        <v>0</v>
      </c>
      <c r="L172" s="17">
        <v>1</v>
      </c>
      <c r="M172" s="35">
        <f>(IF(G172="",挂机玩法规划!$L$2,VLOOKUP(G172,物品id!A:D,4,FALSE)*IF(J172=0,1,4))*IF(J172=0,1,J172)+IF(H172="",挂机玩法规划!$L$2,VLOOKUP(H172,物品id!A:D,4,FALSE)*IF(K172=0,1,4))*IF(K172=0,1,K172)+IF(I172="",挂机玩法规划!$L$2,VLOOKUP(I172,物品id!A:D,4,FALSE)*IF(L172=0,1,4))*IF(L172=0,1,L172))/O172</f>
        <v>0.6470588235294118</v>
      </c>
      <c r="N172" s="44">
        <f>IF(G172="",挂机玩法规划!$L$2,VLOOKUP(G172,物品id!A:D,4,FALSE)*4)+IF(H172="",挂机玩法规划!$L$2,VLOOKUP(H172,物品id!A:D,4,FALSE)*4)+IF(I172="",挂机玩法规划!$L$2,VLOOKUP(I172,物品id!A:D,4,FALSE)*4)</f>
        <v>170</v>
      </c>
      <c r="O172" s="61">
        <v>170</v>
      </c>
      <c r="P172" s="60">
        <v>4</v>
      </c>
      <c r="Q172" s="60">
        <v>4</v>
      </c>
      <c r="R172" s="60" t="s">
        <v>1131</v>
      </c>
      <c r="S172" s="60">
        <v>240</v>
      </c>
      <c r="T172" s="60" t="s">
        <v>835</v>
      </c>
      <c r="U172" s="60">
        <v>240</v>
      </c>
      <c r="V172" s="60" t="s">
        <v>841</v>
      </c>
      <c r="W172" s="60" t="s">
        <v>200</v>
      </c>
      <c r="X172" s="60">
        <v>1</v>
      </c>
      <c r="Y172" s="60">
        <f>U172*挂机玩法规划!$O$4*VLOOKUP(E172,挂机玩法规划!$G$2:$I$17,3,FALSE)</f>
        <v>960</v>
      </c>
      <c r="Z172" s="17">
        <f t="shared" si="296"/>
        <v>0.6470588235294118</v>
      </c>
      <c r="AA172" s="17">
        <f t="shared" si="297"/>
        <v>621.17647058823536</v>
      </c>
      <c r="AB172" s="17">
        <f>(VLOOKUP(V172,物品id!A:E,5,FALSE)*挂机玩法填表!Z172+VLOOKUP(挂机玩法填表!W172,物品id!A:E,5,FALSE)*挂机玩法填表!AA172)/(U172/60)</f>
        <v>19.592941176470589</v>
      </c>
      <c r="AD172" s="60" t="str">
        <f>IF(G172="","",VLOOKUP(G172,物品id!$A:$B,2,FALSE)&amp;",")</f>
        <v>3211,</v>
      </c>
      <c r="AE172" s="60" t="str">
        <f>IF(H172="","",VLOOKUP(H172,物品id!$A:$B,2,FALSE)&amp;",")</f>
        <v>3221,</v>
      </c>
      <c r="AF172" s="60" t="str">
        <f>IF(I172="","",VLOOKUP(I172,物品id!$A:$B,2,FALSE)&amp;",")</f>
        <v/>
      </c>
      <c r="AG172" s="60" t="str">
        <f t="shared" si="367"/>
        <v>3211,3221,</v>
      </c>
      <c r="AH172" s="60" t="str">
        <f t="shared" si="368"/>
        <v>[3211,3221]</v>
      </c>
      <c r="AI172" s="17" t="str">
        <f t="shared" si="364"/>
        <v>4,</v>
      </c>
      <c r="AJ172" s="17" t="str">
        <f t="shared" si="365"/>
        <v>4,</v>
      </c>
      <c r="AK172" s="17" t="str">
        <f t="shared" si="366"/>
        <v/>
      </c>
      <c r="AL172" s="60" t="str">
        <f t="shared" si="369"/>
        <v>4,4,</v>
      </c>
      <c r="AM172" s="60" t="str">
        <f t="shared" si="370"/>
        <v>[4,4]</v>
      </c>
      <c r="AN172" s="60" t="str">
        <f>VLOOKUP(T172,物品id!$A:$B,2,FALSE)&amp;","</f>
        <v>102,</v>
      </c>
      <c r="AO172" s="17" t="str">
        <f t="shared" si="298"/>
        <v>[102]</v>
      </c>
      <c r="AP172" s="60" t="str">
        <f t="shared" si="293"/>
        <v>240,</v>
      </c>
      <c r="AQ172" s="17" t="str">
        <f t="shared" si="299"/>
        <v>[240]</v>
      </c>
      <c r="AR172" s="60" t="str">
        <f>IF(V172="","",VLOOKUP(V172,物品id!$A:$B,2,FALSE)&amp;",")</f>
        <v>20037,</v>
      </c>
      <c r="AS172" s="60" t="str">
        <f>IF(W172="","",VLOOKUP(W172,物品id!$A:$B,2,FALSE)&amp;",")</f>
        <v>102,</v>
      </c>
      <c r="AT172" s="60" t="str">
        <f t="shared" si="371"/>
        <v>20037,102,</v>
      </c>
      <c r="AU172" s="60" t="str">
        <f t="shared" si="372"/>
        <v>[20037,102]</v>
      </c>
      <c r="AV172" s="60" t="str">
        <f t="shared" si="294"/>
        <v>1,</v>
      </c>
      <c r="AW172" s="60" t="str">
        <f t="shared" si="295"/>
        <v>960,</v>
      </c>
      <c r="AX172" s="60" t="str">
        <f t="shared" si="373"/>
        <v>1,960,</v>
      </c>
      <c r="AY172" s="60" t="str">
        <f t="shared" si="374"/>
        <v>[1,960]</v>
      </c>
    </row>
    <row r="173" spans="1:51" s="60" customFormat="1" x14ac:dyDescent="0.2">
      <c r="A173" s="60">
        <v>3</v>
      </c>
      <c r="B173" s="60" t="s">
        <v>1132</v>
      </c>
      <c r="C173" s="60">
        <v>51</v>
      </c>
      <c r="D173" s="34" t="s">
        <v>1156</v>
      </c>
      <c r="E173" s="60" t="s">
        <v>1016</v>
      </c>
      <c r="F173" s="60">
        <v>3</v>
      </c>
      <c r="G173" s="60" t="s">
        <v>803</v>
      </c>
      <c r="H173" s="60" t="s">
        <v>804</v>
      </c>
      <c r="I173" s="60" t="s">
        <v>805</v>
      </c>
      <c r="J173" s="17">
        <v>1</v>
      </c>
      <c r="K173" s="17">
        <v>0.8</v>
      </c>
      <c r="L173" s="17">
        <v>0</v>
      </c>
      <c r="M173" s="35">
        <f>(IF(G173="",挂机玩法规划!$L$2,VLOOKUP(G173,物品id!A:D,4,FALSE)*IF(J173=0,1,4))*IF(J173=0,1,J173)+IF(H173="",挂机玩法规划!$L$2,VLOOKUP(H173,物品id!A:D,4,FALSE)*IF(K173=0,1,4))*IF(K173=0,1,K173)+IF(I173="",挂机玩法规划!$L$2,VLOOKUP(I173,物品id!A:D,4,FALSE)*IF(L173=0,1,4))*IF(L173=0,1,L173))/O173</f>
        <v>0.62</v>
      </c>
      <c r="N173" s="44">
        <f>IF(G173="",挂机玩法规划!$L$2,VLOOKUP(G173,物品id!A:D,4,FALSE)*4)+IF(H173="",挂机玩法规划!$L$2,VLOOKUP(H173,物品id!A:D,4,FALSE)*4)+IF(I173="",挂机玩法规划!$L$2,VLOOKUP(I173,物品id!A:D,4,FALSE)*4)</f>
        <v>200</v>
      </c>
      <c r="O173" s="61">
        <v>200</v>
      </c>
      <c r="P173" s="60">
        <v>4</v>
      </c>
      <c r="Q173" s="60">
        <v>4</v>
      </c>
      <c r="R173" s="60">
        <v>4</v>
      </c>
      <c r="S173" s="60">
        <v>480</v>
      </c>
      <c r="T173" s="60" t="s">
        <v>835</v>
      </c>
      <c r="U173" s="60">
        <v>480</v>
      </c>
      <c r="V173" s="60" t="s">
        <v>841</v>
      </c>
      <c r="W173" s="60" t="s">
        <v>200</v>
      </c>
      <c r="X173" s="60">
        <v>2</v>
      </c>
      <c r="Y173" s="60">
        <f>U173*挂机玩法规划!$O$4*VLOOKUP(E173,挂机玩法规划!$G$2:$I$17,3,FALSE)</f>
        <v>1920</v>
      </c>
      <c r="Z173" s="17">
        <f t="shared" si="296"/>
        <v>1.24</v>
      </c>
      <c r="AA173" s="17">
        <f t="shared" si="297"/>
        <v>1190.4000000000001</v>
      </c>
      <c r="AB173" s="17">
        <f>(VLOOKUP(V173,物品id!A:E,5,FALSE)*挂机玩法填表!Z173+VLOOKUP(挂机玩法填表!W173,物品id!A:E,5,FALSE)*挂机玩法填表!AA173)/(U173/60)</f>
        <v>18.773600000000002</v>
      </c>
      <c r="AD173" s="60" t="str">
        <f>IF(G173="","",VLOOKUP(G173,物品id!$A:$B,2,FALSE)&amp;",")</f>
        <v>1111,</v>
      </c>
      <c r="AE173" s="60" t="str">
        <f>IF(H173="","",VLOOKUP(H173,物品id!$A:$B,2,FALSE)&amp;",")</f>
        <v>1211,</v>
      </c>
      <c r="AF173" s="60" t="str">
        <f>IF(I173="","",VLOOKUP(I173,物品id!$A:$B,2,FALSE)&amp;",")</f>
        <v>1221,</v>
      </c>
      <c r="AG173" s="60" t="str">
        <f t="shared" si="367"/>
        <v>1111,1211,1221,</v>
      </c>
      <c r="AH173" s="60" t="str">
        <f t="shared" si="368"/>
        <v>[1111,1211,1221]</v>
      </c>
      <c r="AI173" s="17" t="str">
        <f t="shared" si="364"/>
        <v>4,</v>
      </c>
      <c r="AJ173" s="17" t="str">
        <f t="shared" si="365"/>
        <v>4,</v>
      </c>
      <c r="AK173" s="17" t="str">
        <f t="shared" si="366"/>
        <v>4,</v>
      </c>
      <c r="AL173" s="60" t="str">
        <f t="shared" si="369"/>
        <v>4,4,4,</v>
      </c>
      <c r="AM173" s="60" t="str">
        <f t="shared" si="370"/>
        <v>[4,4,4]</v>
      </c>
      <c r="AN173" s="60" t="str">
        <f>VLOOKUP(T173,物品id!$A:$B,2,FALSE)&amp;","</f>
        <v>102,</v>
      </c>
      <c r="AO173" s="17" t="str">
        <f t="shared" si="298"/>
        <v>[102]</v>
      </c>
      <c r="AP173" s="60" t="str">
        <f t="shared" si="293"/>
        <v>480,</v>
      </c>
      <c r="AQ173" s="17" t="str">
        <f t="shared" si="299"/>
        <v>[480]</v>
      </c>
      <c r="AR173" s="60" t="str">
        <f>IF(V173="","",VLOOKUP(V173,物品id!$A:$B,2,FALSE)&amp;",")</f>
        <v>20037,</v>
      </c>
      <c r="AS173" s="60" t="str">
        <f>IF(W173="","",VLOOKUP(W173,物品id!$A:$B,2,FALSE)&amp;",")</f>
        <v>102,</v>
      </c>
      <c r="AT173" s="60" t="str">
        <f t="shared" si="371"/>
        <v>20037,102,</v>
      </c>
      <c r="AU173" s="60" t="str">
        <f t="shared" si="372"/>
        <v>[20037,102]</v>
      </c>
      <c r="AV173" s="60" t="str">
        <f t="shared" si="294"/>
        <v>2,</v>
      </c>
      <c r="AW173" s="60" t="str">
        <f t="shared" si="295"/>
        <v>1920,</v>
      </c>
      <c r="AX173" s="60" t="str">
        <f t="shared" si="373"/>
        <v>2,1920,</v>
      </c>
      <c r="AY173" s="60" t="str">
        <f t="shared" si="374"/>
        <v>[2,1920]</v>
      </c>
    </row>
    <row r="174" spans="1:51" s="60" customFormat="1" x14ac:dyDescent="0.2">
      <c r="A174" s="60">
        <v>3</v>
      </c>
      <c r="B174" s="60" t="s">
        <v>1132</v>
      </c>
      <c r="C174" s="60">
        <v>51</v>
      </c>
      <c r="D174" s="34" t="s">
        <v>1156</v>
      </c>
      <c r="E174" s="60" t="s">
        <v>1016</v>
      </c>
      <c r="F174" s="60">
        <v>3</v>
      </c>
      <c r="G174" s="60" t="s">
        <v>814</v>
      </c>
      <c r="H174" s="60" t="s">
        <v>815</v>
      </c>
      <c r="I174" s="60" t="s">
        <v>816</v>
      </c>
      <c r="J174" s="17">
        <v>1</v>
      </c>
      <c r="K174" s="17">
        <v>0.8</v>
      </c>
      <c r="L174" s="17">
        <v>0</v>
      </c>
      <c r="M174" s="35">
        <f>(IF(G174="",挂机玩法规划!$L$2,VLOOKUP(G174,物品id!A:D,4,FALSE)*IF(J174=0,1,4))*IF(J174=0,1,J174)+IF(H174="",挂机玩法规划!$L$2,VLOOKUP(H174,物品id!A:D,4,FALSE)*IF(K174=0,1,4))*IF(K174=0,1,K174)+IF(I174="",挂机玩法规划!$L$2,VLOOKUP(I174,物品id!A:D,4,FALSE)*IF(L174=0,1,4))*IF(L174=0,1,L174))/O174</f>
        <v>0.62</v>
      </c>
      <c r="N174" s="44">
        <f>IF(G174="",挂机玩法规划!$L$2,VLOOKUP(G174,物品id!A:D,4,FALSE)*4)+IF(H174="",挂机玩法规划!$L$2,VLOOKUP(H174,物品id!A:D,4,FALSE)*4)+IF(I174="",挂机玩法规划!$L$2,VLOOKUP(I174,物品id!A:D,4,FALSE)*4)</f>
        <v>200</v>
      </c>
      <c r="O174" s="61">
        <v>200</v>
      </c>
      <c r="P174" s="60">
        <v>4</v>
      </c>
      <c r="Q174" s="60">
        <v>4</v>
      </c>
      <c r="R174" s="60">
        <v>4</v>
      </c>
      <c r="S174" s="60">
        <v>480</v>
      </c>
      <c r="T174" s="60" t="s">
        <v>835</v>
      </c>
      <c r="U174" s="60">
        <v>480</v>
      </c>
      <c r="V174" s="60" t="s">
        <v>841</v>
      </c>
      <c r="W174" s="60" t="s">
        <v>200</v>
      </c>
      <c r="X174" s="60">
        <v>2</v>
      </c>
      <c r="Y174" s="60">
        <f>U174*挂机玩法规划!$O$4*VLOOKUP(E174,挂机玩法规划!$G$2:$I$17,3,FALSE)</f>
        <v>1920</v>
      </c>
      <c r="Z174" s="17">
        <f t="shared" si="296"/>
        <v>1.24</v>
      </c>
      <c r="AA174" s="17">
        <f t="shared" si="297"/>
        <v>1190.4000000000001</v>
      </c>
      <c r="AB174" s="17">
        <f>(VLOOKUP(V174,物品id!A:E,5,FALSE)*挂机玩法填表!Z174+VLOOKUP(挂机玩法填表!W174,物品id!A:E,5,FALSE)*挂机玩法填表!AA174)/(U174/60)</f>
        <v>18.773600000000002</v>
      </c>
      <c r="AD174" s="60" t="str">
        <f>IF(G174="","",VLOOKUP(G174,物品id!$A:$B,2,FALSE)&amp;",")</f>
        <v>2111,</v>
      </c>
      <c r="AE174" s="60" t="str">
        <f>IF(H174="","",VLOOKUP(H174,物品id!$A:$B,2,FALSE)&amp;",")</f>
        <v>2211,</v>
      </c>
      <c r="AF174" s="60" t="str">
        <f>IF(I174="","",VLOOKUP(I174,物品id!$A:$B,2,FALSE)&amp;",")</f>
        <v>2221,</v>
      </c>
      <c r="AG174" s="60" t="str">
        <f t="shared" si="367"/>
        <v>2111,2211,2221,</v>
      </c>
      <c r="AH174" s="60" t="str">
        <f t="shared" si="368"/>
        <v>[2111,2211,2221]</v>
      </c>
      <c r="AI174" s="17" t="str">
        <f t="shared" si="364"/>
        <v>4,</v>
      </c>
      <c r="AJ174" s="17" t="str">
        <f t="shared" si="365"/>
        <v>4,</v>
      </c>
      <c r="AK174" s="17" t="str">
        <f t="shared" si="366"/>
        <v>4,</v>
      </c>
      <c r="AL174" s="60" t="str">
        <f t="shared" si="369"/>
        <v>4,4,4,</v>
      </c>
      <c r="AM174" s="60" t="str">
        <f t="shared" si="370"/>
        <v>[4,4,4]</v>
      </c>
      <c r="AN174" s="60" t="str">
        <f>VLOOKUP(T174,物品id!$A:$B,2,FALSE)&amp;","</f>
        <v>102,</v>
      </c>
      <c r="AO174" s="17" t="str">
        <f t="shared" si="298"/>
        <v>[102]</v>
      </c>
      <c r="AP174" s="60" t="str">
        <f t="shared" si="293"/>
        <v>480,</v>
      </c>
      <c r="AQ174" s="17" t="str">
        <f t="shared" si="299"/>
        <v>[480]</v>
      </c>
      <c r="AR174" s="60" t="str">
        <f>IF(V174="","",VLOOKUP(V174,物品id!$A:$B,2,FALSE)&amp;",")</f>
        <v>20037,</v>
      </c>
      <c r="AS174" s="60" t="str">
        <f>IF(W174="","",VLOOKUP(W174,物品id!$A:$B,2,FALSE)&amp;",")</f>
        <v>102,</v>
      </c>
      <c r="AT174" s="60" t="str">
        <f t="shared" si="371"/>
        <v>20037,102,</v>
      </c>
      <c r="AU174" s="60" t="str">
        <f t="shared" si="372"/>
        <v>[20037,102]</v>
      </c>
      <c r="AV174" s="60" t="str">
        <f t="shared" si="294"/>
        <v>2,</v>
      </c>
      <c r="AW174" s="60" t="str">
        <f t="shared" si="295"/>
        <v>1920,</v>
      </c>
      <c r="AX174" s="60" t="str">
        <f t="shared" si="373"/>
        <v>2,1920,</v>
      </c>
      <c r="AY174" s="60" t="str">
        <f t="shared" si="374"/>
        <v>[2,1920]</v>
      </c>
    </row>
    <row r="175" spans="1:51" s="60" customFormat="1" x14ac:dyDescent="0.2">
      <c r="A175" s="60">
        <v>3</v>
      </c>
      <c r="B175" s="60" t="s">
        <v>1132</v>
      </c>
      <c r="C175" s="60">
        <v>51</v>
      </c>
      <c r="D175" s="34" t="s">
        <v>1156</v>
      </c>
      <c r="E175" s="60" t="s">
        <v>1016</v>
      </c>
      <c r="F175" s="60">
        <v>3</v>
      </c>
      <c r="G175" s="60" t="s">
        <v>824</v>
      </c>
      <c r="H175" s="60" t="s">
        <v>825</v>
      </c>
      <c r="I175" s="60" t="s">
        <v>826</v>
      </c>
      <c r="J175" s="17">
        <v>1</v>
      </c>
      <c r="K175" s="17">
        <v>0.8</v>
      </c>
      <c r="L175" s="17">
        <v>0</v>
      </c>
      <c r="M175" s="35">
        <f>(IF(G175="",挂机玩法规划!$L$2,VLOOKUP(G175,物品id!A:D,4,FALSE)*IF(J175=0,1,4))*IF(J175=0,1,J175)+IF(H175="",挂机玩法规划!$L$2,VLOOKUP(H175,物品id!A:D,4,FALSE)*IF(K175=0,1,4))*IF(K175=0,1,K175)+IF(I175="",挂机玩法规划!$L$2,VLOOKUP(I175,物品id!A:D,4,FALSE)*IF(L175=0,1,4))*IF(L175=0,1,L175))/O175</f>
        <v>0.62</v>
      </c>
      <c r="N175" s="44">
        <f>IF(G175="",挂机玩法规划!$L$2,VLOOKUP(G175,物品id!A:D,4,FALSE)*4)+IF(H175="",挂机玩法规划!$L$2,VLOOKUP(H175,物品id!A:D,4,FALSE)*4)+IF(I175="",挂机玩法规划!$L$2,VLOOKUP(I175,物品id!A:D,4,FALSE)*4)</f>
        <v>200</v>
      </c>
      <c r="O175" s="61">
        <v>200</v>
      </c>
      <c r="P175" s="60">
        <v>4</v>
      </c>
      <c r="Q175" s="60">
        <v>4</v>
      </c>
      <c r="R175" s="60">
        <v>4</v>
      </c>
      <c r="S175" s="60">
        <v>480</v>
      </c>
      <c r="T175" s="60" t="s">
        <v>835</v>
      </c>
      <c r="U175" s="60">
        <v>480</v>
      </c>
      <c r="V175" s="60" t="s">
        <v>841</v>
      </c>
      <c r="W175" s="60" t="s">
        <v>200</v>
      </c>
      <c r="X175" s="60">
        <v>2</v>
      </c>
      <c r="Y175" s="60">
        <f>U175*挂机玩法规划!$O$4*VLOOKUP(E175,挂机玩法规划!$G$2:$I$17,3,FALSE)</f>
        <v>1920</v>
      </c>
      <c r="Z175" s="17">
        <f t="shared" si="296"/>
        <v>1.24</v>
      </c>
      <c r="AA175" s="17">
        <f t="shared" si="297"/>
        <v>1190.4000000000001</v>
      </c>
      <c r="AB175" s="17">
        <f>(VLOOKUP(V175,物品id!A:E,5,FALSE)*挂机玩法填表!Z175+VLOOKUP(挂机玩法填表!W175,物品id!A:E,5,FALSE)*挂机玩法填表!AA175)/(U175/60)</f>
        <v>18.773600000000002</v>
      </c>
      <c r="AD175" s="60" t="str">
        <f>IF(G175="","",VLOOKUP(G175,物品id!$A:$B,2,FALSE)&amp;",")</f>
        <v>3111,</v>
      </c>
      <c r="AE175" s="60" t="str">
        <f>IF(H175="","",VLOOKUP(H175,物品id!$A:$B,2,FALSE)&amp;",")</f>
        <v>3211,</v>
      </c>
      <c r="AF175" s="60" t="str">
        <f>IF(I175="","",VLOOKUP(I175,物品id!$A:$B,2,FALSE)&amp;",")</f>
        <v>3221,</v>
      </c>
      <c r="AG175" s="60" t="str">
        <f t="shared" si="367"/>
        <v>3111,3211,3221,</v>
      </c>
      <c r="AH175" s="60" t="str">
        <f t="shared" si="368"/>
        <v>[3111,3211,3221]</v>
      </c>
      <c r="AI175" s="17" t="str">
        <f t="shared" si="364"/>
        <v>4,</v>
      </c>
      <c r="AJ175" s="17" t="str">
        <f t="shared" si="365"/>
        <v>4,</v>
      </c>
      <c r="AK175" s="17" t="str">
        <f t="shared" si="366"/>
        <v>4,</v>
      </c>
      <c r="AL175" s="60" t="str">
        <f t="shared" si="369"/>
        <v>4,4,4,</v>
      </c>
      <c r="AM175" s="60" t="str">
        <f t="shared" si="370"/>
        <v>[4,4,4]</v>
      </c>
      <c r="AN175" s="60" t="str">
        <f>VLOOKUP(T175,物品id!$A:$B,2,FALSE)&amp;","</f>
        <v>102,</v>
      </c>
      <c r="AO175" s="17" t="str">
        <f t="shared" si="298"/>
        <v>[102]</v>
      </c>
      <c r="AP175" s="60" t="str">
        <f t="shared" si="293"/>
        <v>480,</v>
      </c>
      <c r="AQ175" s="17" t="str">
        <f t="shared" si="299"/>
        <v>[480]</v>
      </c>
      <c r="AR175" s="60" t="str">
        <f>IF(V175="","",VLOOKUP(V175,物品id!$A:$B,2,FALSE)&amp;",")</f>
        <v>20037,</v>
      </c>
      <c r="AS175" s="60" t="str">
        <f>IF(W175="","",VLOOKUP(W175,物品id!$A:$B,2,FALSE)&amp;",")</f>
        <v>102,</v>
      </c>
      <c r="AT175" s="60" t="str">
        <f t="shared" si="371"/>
        <v>20037,102,</v>
      </c>
      <c r="AU175" s="60" t="str">
        <f t="shared" si="372"/>
        <v>[20037,102]</v>
      </c>
      <c r="AV175" s="60" t="str">
        <f t="shared" si="294"/>
        <v>2,</v>
      </c>
      <c r="AW175" s="60" t="str">
        <f t="shared" si="295"/>
        <v>1920,</v>
      </c>
      <c r="AX175" s="60" t="str">
        <f t="shared" si="373"/>
        <v>2,1920,</v>
      </c>
      <c r="AY175" s="60" t="str">
        <f t="shared" si="374"/>
        <v>[2,1920]</v>
      </c>
    </row>
    <row r="176" spans="1:51" s="60" customFormat="1" x14ac:dyDescent="0.2">
      <c r="A176" s="60">
        <v>3</v>
      </c>
      <c r="B176" s="60" t="s">
        <v>1132</v>
      </c>
      <c r="C176" s="60">
        <v>52</v>
      </c>
      <c r="D176" s="34" t="s">
        <v>1157</v>
      </c>
      <c r="E176" s="60" t="s">
        <v>1016</v>
      </c>
      <c r="F176" s="60">
        <v>3</v>
      </c>
      <c r="G176" s="60" t="s">
        <v>805</v>
      </c>
      <c r="H176" s="60" t="s">
        <v>816</v>
      </c>
      <c r="I176" s="60" t="s">
        <v>826</v>
      </c>
      <c r="J176" s="17">
        <v>0</v>
      </c>
      <c r="K176" s="17">
        <v>0</v>
      </c>
      <c r="L176" s="17">
        <v>0</v>
      </c>
      <c r="M176" s="35">
        <f>(IF(G176="",挂机玩法规划!$L$2,VLOOKUP(G176,物品id!A:D,4,FALSE)*IF(J176=0,1,4))*IF(J176=0,1,J176)+IF(H176="",挂机玩法规划!$L$2,VLOOKUP(H176,物品id!A:D,4,FALSE)*IF(K176=0,1,4))*IF(K176=0,1,K176)+IF(I176="",挂机玩法规划!$L$2,VLOOKUP(I176,物品id!A:D,4,FALSE)*IF(L176=0,1,4))*IF(L176=0,1,L176))/O176</f>
        <v>0.25</v>
      </c>
      <c r="N176" s="44">
        <f>IF(G176="",挂机玩法规划!$L$2,VLOOKUP(G176,物品id!A:D,4,FALSE)*4)+IF(H176="",挂机玩法规划!$L$2,VLOOKUP(H176,物品id!A:D,4,FALSE)*4)+IF(I176="",挂机玩法规划!$L$2,VLOOKUP(I176,物品id!A:D,4,FALSE)*4)</f>
        <v>240</v>
      </c>
      <c r="O176" s="61">
        <v>240</v>
      </c>
      <c r="P176" s="60">
        <v>4</v>
      </c>
      <c r="Q176" s="60">
        <v>4</v>
      </c>
      <c r="R176" s="60">
        <v>4</v>
      </c>
      <c r="S176" s="60">
        <v>720</v>
      </c>
      <c r="T176" s="60" t="s">
        <v>835</v>
      </c>
      <c r="U176" s="60">
        <v>720</v>
      </c>
      <c r="V176" s="60" t="s">
        <v>841</v>
      </c>
      <c r="W176" s="60" t="s">
        <v>200</v>
      </c>
      <c r="X176" s="60">
        <v>3</v>
      </c>
      <c r="Y176" s="60">
        <f>U176*挂机玩法规划!$O$4*VLOOKUP(E176,挂机玩法规划!$G$2:$I$17,3,FALSE)</f>
        <v>2880</v>
      </c>
      <c r="Z176" s="17">
        <f t="shared" si="296"/>
        <v>0.75</v>
      </c>
      <c r="AA176" s="17">
        <f t="shared" si="297"/>
        <v>720</v>
      </c>
      <c r="AB176" s="17">
        <f>(VLOOKUP(V176,物品id!A:E,5,FALSE)*挂机玩法填表!Z176+VLOOKUP(挂机玩法填表!W176,物品id!A:E,5,FALSE)*挂机玩法填表!AA176)/(U176/60)</f>
        <v>7.57</v>
      </c>
      <c r="AD176" s="60" t="str">
        <f>IF(G176="","",VLOOKUP(G176,物品id!$A:$B,2,FALSE)&amp;",")</f>
        <v>1221,</v>
      </c>
      <c r="AE176" s="60" t="str">
        <f>IF(H176="","",VLOOKUP(H176,物品id!$A:$B,2,FALSE)&amp;",")</f>
        <v>2221,</v>
      </c>
      <c r="AF176" s="60" t="str">
        <f>IF(I176="","",VLOOKUP(I176,物品id!$A:$B,2,FALSE)&amp;",")</f>
        <v>3221,</v>
      </c>
      <c r="AG176" s="60" t="str">
        <f t="shared" si="367"/>
        <v>1221,2221,3221,</v>
      </c>
      <c r="AH176" s="60" t="str">
        <f t="shared" si="368"/>
        <v>[1221,2221,3221]</v>
      </c>
      <c r="AI176" s="17" t="str">
        <f t="shared" si="364"/>
        <v>4,</v>
      </c>
      <c r="AJ176" s="17" t="str">
        <f t="shared" si="365"/>
        <v>4,</v>
      </c>
      <c r="AK176" s="17" t="str">
        <f t="shared" si="366"/>
        <v>4,</v>
      </c>
      <c r="AL176" s="60" t="str">
        <f t="shared" si="369"/>
        <v>4,4,4,</v>
      </c>
      <c r="AM176" s="60" t="str">
        <f t="shared" si="370"/>
        <v>[4,4,4]</v>
      </c>
      <c r="AN176" s="60" t="str">
        <f>VLOOKUP(T176,物品id!$A:$B,2,FALSE)&amp;","</f>
        <v>102,</v>
      </c>
      <c r="AO176" s="17" t="str">
        <f t="shared" si="298"/>
        <v>[102]</v>
      </c>
      <c r="AP176" s="60" t="str">
        <f t="shared" si="293"/>
        <v>720,</v>
      </c>
      <c r="AQ176" s="17" t="str">
        <f t="shared" si="299"/>
        <v>[720]</v>
      </c>
      <c r="AR176" s="60" t="str">
        <f>IF(V176="","",VLOOKUP(V176,物品id!$A:$B,2,FALSE)&amp;",")</f>
        <v>20037,</v>
      </c>
      <c r="AS176" s="60" t="str">
        <f>IF(W176="","",VLOOKUP(W176,物品id!$A:$B,2,FALSE)&amp;",")</f>
        <v>102,</v>
      </c>
      <c r="AT176" s="60" t="str">
        <f t="shared" si="371"/>
        <v>20037,102,</v>
      </c>
      <c r="AU176" s="60" t="str">
        <f t="shared" si="372"/>
        <v>[20037,102]</v>
      </c>
      <c r="AV176" s="60" t="str">
        <f t="shared" si="294"/>
        <v>3,</v>
      </c>
      <c r="AW176" s="60" t="str">
        <f t="shared" si="295"/>
        <v>2880,</v>
      </c>
      <c r="AX176" s="60" t="str">
        <f t="shared" si="373"/>
        <v>3,2880,</v>
      </c>
      <c r="AY176" s="60" t="str">
        <f t="shared" si="374"/>
        <v>[3,2880]</v>
      </c>
    </row>
    <row r="177" spans="1:51" s="60" customFormat="1" x14ac:dyDescent="0.2">
      <c r="A177" s="60">
        <v>4</v>
      </c>
      <c r="B177" s="60" t="s">
        <v>1132</v>
      </c>
      <c r="C177" s="60">
        <v>53</v>
      </c>
      <c r="D177" s="34" t="s">
        <v>1158</v>
      </c>
      <c r="E177" s="60" t="s">
        <v>135</v>
      </c>
      <c r="F177" s="60">
        <v>3</v>
      </c>
      <c r="G177" s="60" t="s">
        <v>803</v>
      </c>
      <c r="H177" s="60" t="s">
        <v>804</v>
      </c>
      <c r="I177" s="60" t="s">
        <v>806</v>
      </c>
      <c r="J177" s="17">
        <v>1</v>
      </c>
      <c r="K177" s="17">
        <v>0.8</v>
      </c>
      <c r="L177" s="17">
        <v>0.6</v>
      </c>
      <c r="M177" s="35">
        <f>(IF(G177="",挂机玩法规划!$L$2,VLOOKUP(G177,物品id!A:D,4,FALSE)*IF(J177=0,1,4))*IF(J177=0,1,J177)+IF(H177="",挂机玩法规划!$L$2,VLOOKUP(H177,物品id!A:D,4,FALSE)*IF(K177=0,1,4))*IF(K177=0,1,K177)+IF(I177="",挂机玩法规划!$L$2,VLOOKUP(I177,物品id!A:D,4,FALSE)*IF(L177=0,1,4))*IF(L177=0,1,L177))/O177</f>
        <v>0.73333333333333328</v>
      </c>
      <c r="N177" s="44">
        <f>IF(G177="",挂机玩法规划!$L$2,VLOOKUP(G177,物品id!A:D,4,FALSE)*4)+IF(H177="",挂机玩法规划!$L$2,VLOOKUP(H177,物品id!A:D,4,FALSE)*4)+IF(I177="",挂机玩法规划!$L$2,VLOOKUP(I177,物品id!A:D,4,FALSE)*4)</f>
        <v>240</v>
      </c>
      <c r="O177" s="61">
        <v>240</v>
      </c>
      <c r="P177" s="60">
        <v>4</v>
      </c>
      <c r="Q177" s="60">
        <v>4</v>
      </c>
      <c r="R177" s="60">
        <v>4</v>
      </c>
      <c r="S177" s="60">
        <v>120</v>
      </c>
      <c r="T177" s="60" t="s">
        <v>835</v>
      </c>
      <c r="U177" s="60">
        <v>120</v>
      </c>
      <c r="V177" s="60" t="s">
        <v>1047</v>
      </c>
      <c r="W177" s="60" t="s">
        <v>200</v>
      </c>
      <c r="X177" s="60">
        <v>1</v>
      </c>
      <c r="Y177" s="60">
        <f>U177*挂机玩法规划!$O$4*VLOOKUP(E177,挂机玩法规划!$G$2:$I$17,3,FALSE)</f>
        <v>240</v>
      </c>
      <c r="Z177" s="17">
        <f t="shared" si="296"/>
        <v>0.73333333333333328</v>
      </c>
      <c r="AA177" s="17">
        <f t="shared" si="297"/>
        <v>176</v>
      </c>
      <c r="AB177" s="17">
        <f>(VLOOKUP(V177,物品id!A:E,5,FALSE)*挂机玩法填表!Z177+VLOOKUP(挂机玩法填表!W177,物品id!A:E,5,FALSE)*挂机玩法填表!AA177)/(U177/60)</f>
        <v>45.936</v>
      </c>
      <c r="AD177" s="60" t="str">
        <f>IF(G177="","",VLOOKUP(G177,物品id!$A:$B,2,FALSE)&amp;",")</f>
        <v>1111,</v>
      </c>
      <c r="AE177" s="60" t="str">
        <f>IF(H177="","",VLOOKUP(H177,物品id!$A:$B,2,FALSE)&amp;",")</f>
        <v>1211,</v>
      </c>
      <c r="AF177" s="60" t="str">
        <f>IF(I177="","",VLOOKUP(I177,物品id!$A:$B,2,FALSE)&amp;",")</f>
        <v>1311,</v>
      </c>
      <c r="AG177" s="60" t="str">
        <f t="shared" si="367"/>
        <v>1111,1211,1311,</v>
      </c>
      <c r="AH177" s="60" t="str">
        <f t="shared" si="368"/>
        <v>[1111,1211,1311]</v>
      </c>
      <c r="AI177" s="17" t="str">
        <f t="shared" si="364"/>
        <v>4,</v>
      </c>
      <c r="AJ177" s="17" t="str">
        <f t="shared" si="365"/>
        <v>4,</v>
      </c>
      <c r="AK177" s="17" t="str">
        <f t="shared" si="366"/>
        <v>4,</v>
      </c>
      <c r="AL177" s="60" t="str">
        <f t="shared" si="369"/>
        <v>4,4,4,</v>
      </c>
      <c r="AM177" s="60" t="str">
        <f t="shared" si="370"/>
        <v>[4,4,4]</v>
      </c>
      <c r="AN177" s="60" t="str">
        <f>VLOOKUP(T177,物品id!$A:$B,2,FALSE)&amp;","</f>
        <v>102,</v>
      </c>
      <c r="AO177" s="17" t="str">
        <f t="shared" si="298"/>
        <v>[102]</v>
      </c>
      <c r="AP177" s="60" t="str">
        <f t="shared" si="293"/>
        <v>120,</v>
      </c>
      <c r="AQ177" s="17" t="str">
        <f t="shared" si="299"/>
        <v>[120]</v>
      </c>
      <c r="AR177" s="60" t="str">
        <f>IF(V177="","",VLOOKUP(V177,物品id!$A:$B,2,FALSE)&amp;",")</f>
        <v>20033,</v>
      </c>
      <c r="AS177" s="60" t="str">
        <f>IF(W177="","",VLOOKUP(W177,物品id!$A:$B,2,FALSE)&amp;",")</f>
        <v>102,</v>
      </c>
      <c r="AT177" s="60" t="str">
        <f t="shared" si="371"/>
        <v>20033,102,</v>
      </c>
      <c r="AU177" s="60" t="str">
        <f t="shared" si="372"/>
        <v>[20033,102]</v>
      </c>
      <c r="AV177" s="60" t="str">
        <f t="shared" si="294"/>
        <v>1,</v>
      </c>
      <c r="AW177" s="60" t="str">
        <f t="shared" si="295"/>
        <v>240,</v>
      </c>
      <c r="AX177" s="60" t="str">
        <f t="shared" si="373"/>
        <v>1,240,</v>
      </c>
      <c r="AY177" s="60" t="str">
        <f t="shared" si="374"/>
        <v>[1,240]</v>
      </c>
    </row>
    <row r="178" spans="1:51" s="60" customFormat="1" x14ac:dyDescent="0.2">
      <c r="A178" s="60">
        <v>4</v>
      </c>
      <c r="B178" s="60" t="s">
        <v>1132</v>
      </c>
      <c r="C178" s="60">
        <v>53</v>
      </c>
      <c r="D178" s="34" t="s">
        <v>1158</v>
      </c>
      <c r="E178" s="60" t="s">
        <v>135</v>
      </c>
      <c r="F178" s="60">
        <v>3</v>
      </c>
      <c r="G178" s="60" t="s">
        <v>814</v>
      </c>
      <c r="H178" s="60" t="s">
        <v>815</v>
      </c>
      <c r="I178" s="60" t="s">
        <v>817</v>
      </c>
      <c r="J178" s="17">
        <v>1</v>
      </c>
      <c r="K178" s="17">
        <v>0.8</v>
      </c>
      <c r="L178" s="17">
        <v>0.6</v>
      </c>
      <c r="M178" s="35">
        <f>(IF(G178="",挂机玩法规划!$L$2,VLOOKUP(G178,物品id!A:D,4,FALSE)*IF(J178=0,1,4))*IF(J178=0,1,J178)+IF(H178="",挂机玩法规划!$L$2,VLOOKUP(H178,物品id!A:D,4,FALSE)*IF(K178=0,1,4))*IF(K178=0,1,K178)+IF(I178="",挂机玩法规划!$L$2,VLOOKUP(I178,物品id!A:D,4,FALSE)*IF(L178=0,1,4))*IF(L178=0,1,L178))/O178</f>
        <v>0.73333333333333328</v>
      </c>
      <c r="N178" s="44">
        <f>IF(G178="",挂机玩法规划!$L$2,VLOOKUP(G178,物品id!A:D,4,FALSE)*4)+IF(H178="",挂机玩法规划!$L$2,VLOOKUP(H178,物品id!A:D,4,FALSE)*4)+IF(I178="",挂机玩法规划!$L$2,VLOOKUP(I178,物品id!A:D,4,FALSE)*4)</f>
        <v>240</v>
      </c>
      <c r="O178" s="61">
        <v>240</v>
      </c>
      <c r="P178" s="60">
        <v>4</v>
      </c>
      <c r="Q178" s="60">
        <v>4</v>
      </c>
      <c r="R178" s="60">
        <v>4</v>
      </c>
      <c r="S178" s="60">
        <v>120</v>
      </c>
      <c r="T178" s="60" t="s">
        <v>835</v>
      </c>
      <c r="U178" s="60">
        <v>120</v>
      </c>
      <c r="V178" s="60" t="s">
        <v>1047</v>
      </c>
      <c r="W178" s="60" t="s">
        <v>200</v>
      </c>
      <c r="X178" s="60">
        <v>1</v>
      </c>
      <c r="Y178" s="60">
        <f>U178*挂机玩法规划!$O$4*VLOOKUP(E178,挂机玩法规划!$G$2:$I$17,3,FALSE)</f>
        <v>240</v>
      </c>
      <c r="Z178" s="17">
        <f t="shared" si="296"/>
        <v>0.73333333333333328</v>
      </c>
      <c r="AA178" s="17">
        <f t="shared" si="297"/>
        <v>176</v>
      </c>
      <c r="AB178" s="17">
        <f>(VLOOKUP(V178,物品id!A:E,5,FALSE)*挂机玩法填表!Z178+VLOOKUP(挂机玩法填表!W178,物品id!A:E,5,FALSE)*挂机玩法填表!AA178)/(U178/60)</f>
        <v>45.936</v>
      </c>
      <c r="AD178" s="60" t="str">
        <f>IF(G178="","",VLOOKUP(G178,物品id!$A:$B,2,FALSE)&amp;",")</f>
        <v>2111,</v>
      </c>
      <c r="AE178" s="60" t="str">
        <f>IF(H178="","",VLOOKUP(H178,物品id!$A:$B,2,FALSE)&amp;",")</f>
        <v>2211,</v>
      </c>
      <c r="AF178" s="60" t="str">
        <f>IF(I178="","",VLOOKUP(I178,物品id!$A:$B,2,FALSE)&amp;",")</f>
        <v>2311,</v>
      </c>
      <c r="AG178" s="60" t="str">
        <f t="shared" si="367"/>
        <v>2111,2211,2311,</v>
      </c>
      <c r="AH178" s="60" t="str">
        <f t="shared" si="368"/>
        <v>[2111,2211,2311]</v>
      </c>
      <c r="AI178" s="17" t="str">
        <f t="shared" si="364"/>
        <v>4,</v>
      </c>
      <c r="AJ178" s="17" t="str">
        <f t="shared" si="365"/>
        <v>4,</v>
      </c>
      <c r="AK178" s="17" t="str">
        <f t="shared" si="366"/>
        <v>4,</v>
      </c>
      <c r="AL178" s="60" t="str">
        <f t="shared" si="369"/>
        <v>4,4,4,</v>
      </c>
      <c r="AM178" s="60" t="str">
        <f t="shared" si="370"/>
        <v>[4,4,4]</v>
      </c>
      <c r="AN178" s="60" t="str">
        <f>VLOOKUP(T178,物品id!$A:$B,2,FALSE)&amp;","</f>
        <v>102,</v>
      </c>
      <c r="AO178" s="17" t="str">
        <f t="shared" si="298"/>
        <v>[102]</v>
      </c>
      <c r="AP178" s="60" t="str">
        <f t="shared" si="293"/>
        <v>120,</v>
      </c>
      <c r="AQ178" s="17" t="str">
        <f t="shared" si="299"/>
        <v>[120]</v>
      </c>
      <c r="AR178" s="60" t="str">
        <f>IF(V178="","",VLOOKUP(V178,物品id!$A:$B,2,FALSE)&amp;",")</f>
        <v>20033,</v>
      </c>
      <c r="AS178" s="60" t="str">
        <f>IF(W178="","",VLOOKUP(W178,物品id!$A:$B,2,FALSE)&amp;",")</f>
        <v>102,</v>
      </c>
      <c r="AT178" s="60" t="str">
        <f t="shared" si="371"/>
        <v>20033,102,</v>
      </c>
      <c r="AU178" s="60" t="str">
        <f t="shared" si="372"/>
        <v>[20033,102]</v>
      </c>
      <c r="AV178" s="60" t="str">
        <f t="shared" si="294"/>
        <v>1,</v>
      </c>
      <c r="AW178" s="60" t="str">
        <f t="shared" si="295"/>
        <v>240,</v>
      </c>
      <c r="AX178" s="60" t="str">
        <f t="shared" si="373"/>
        <v>1,240,</v>
      </c>
      <c r="AY178" s="60" t="str">
        <f t="shared" si="374"/>
        <v>[1,240]</v>
      </c>
    </row>
    <row r="179" spans="1:51" s="60" customFormat="1" x14ac:dyDescent="0.2">
      <c r="A179" s="60">
        <v>4</v>
      </c>
      <c r="B179" s="60" t="s">
        <v>1132</v>
      </c>
      <c r="C179" s="60">
        <v>53</v>
      </c>
      <c r="D179" s="34" t="s">
        <v>1158</v>
      </c>
      <c r="E179" s="60" t="s">
        <v>135</v>
      </c>
      <c r="F179" s="60">
        <v>3</v>
      </c>
      <c r="G179" s="60" t="s">
        <v>824</v>
      </c>
      <c r="H179" s="60" t="s">
        <v>825</v>
      </c>
      <c r="I179" s="60" t="s">
        <v>827</v>
      </c>
      <c r="J179" s="17">
        <v>1</v>
      </c>
      <c r="K179" s="17">
        <v>0.8</v>
      </c>
      <c r="L179" s="17">
        <v>0.6</v>
      </c>
      <c r="M179" s="35">
        <f>(IF(G179="",挂机玩法规划!$L$2,VLOOKUP(G179,物品id!A:D,4,FALSE)*IF(J179=0,1,4))*IF(J179=0,1,J179)+IF(H179="",挂机玩法规划!$L$2,VLOOKUP(H179,物品id!A:D,4,FALSE)*IF(K179=0,1,4))*IF(K179=0,1,K179)+IF(I179="",挂机玩法规划!$L$2,VLOOKUP(I179,物品id!A:D,4,FALSE)*IF(L179=0,1,4))*IF(L179=0,1,L179))/O179</f>
        <v>0.73333333333333328</v>
      </c>
      <c r="N179" s="44">
        <f>IF(G179="",挂机玩法规划!$L$2,VLOOKUP(G179,物品id!A:D,4,FALSE)*4)+IF(H179="",挂机玩法规划!$L$2,VLOOKUP(H179,物品id!A:D,4,FALSE)*4)+IF(I179="",挂机玩法规划!$L$2,VLOOKUP(I179,物品id!A:D,4,FALSE)*4)</f>
        <v>240</v>
      </c>
      <c r="O179" s="61">
        <v>240</v>
      </c>
      <c r="P179" s="60">
        <v>4</v>
      </c>
      <c r="Q179" s="60">
        <v>4</v>
      </c>
      <c r="R179" s="60">
        <v>4</v>
      </c>
      <c r="S179" s="60">
        <v>120</v>
      </c>
      <c r="T179" s="60" t="s">
        <v>835</v>
      </c>
      <c r="U179" s="60">
        <v>120</v>
      </c>
      <c r="V179" s="60" t="s">
        <v>1047</v>
      </c>
      <c r="W179" s="60" t="s">
        <v>200</v>
      </c>
      <c r="X179" s="60">
        <v>1</v>
      </c>
      <c r="Y179" s="60">
        <f>U179*挂机玩法规划!$O$4*VLOOKUP(E179,挂机玩法规划!$G$2:$I$17,3,FALSE)</f>
        <v>240</v>
      </c>
      <c r="Z179" s="17">
        <f t="shared" si="296"/>
        <v>0.73333333333333328</v>
      </c>
      <c r="AA179" s="17">
        <f t="shared" si="297"/>
        <v>176</v>
      </c>
      <c r="AB179" s="17">
        <f>(VLOOKUP(V179,物品id!A:E,5,FALSE)*挂机玩法填表!Z179+VLOOKUP(挂机玩法填表!W179,物品id!A:E,5,FALSE)*挂机玩法填表!AA179)/(U179/60)</f>
        <v>45.936</v>
      </c>
      <c r="AD179" s="60" t="str">
        <f>IF(G179="","",VLOOKUP(G179,物品id!$A:$B,2,FALSE)&amp;",")</f>
        <v>3111,</v>
      </c>
      <c r="AE179" s="60" t="str">
        <f>IF(H179="","",VLOOKUP(H179,物品id!$A:$B,2,FALSE)&amp;",")</f>
        <v>3211,</v>
      </c>
      <c r="AF179" s="60" t="str">
        <f>IF(I179="","",VLOOKUP(I179,物品id!$A:$B,2,FALSE)&amp;",")</f>
        <v>3311,</v>
      </c>
      <c r="AG179" s="60" t="str">
        <f t="shared" si="367"/>
        <v>3111,3211,3311,</v>
      </c>
      <c r="AH179" s="60" t="str">
        <f t="shared" si="368"/>
        <v>[3111,3211,3311]</v>
      </c>
      <c r="AI179" s="17" t="str">
        <f t="shared" si="364"/>
        <v>4,</v>
      </c>
      <c r="AJ179" s="17" t="str">
        <f t="shared" si="365"/>
        <v>4,</v>
      </c>
      <c r="AK179" s="17" t="str">
        <f t="shared" si="366"/>
        <v>4,</v>
      </c>
      <c r="AL179" s="60" t="str">
        <f t="shared" si="369"/>
        <v>4,4,4,</v>
      </c>
      <c r="AM179" s="60" t="str">
        <f t="shared" si="370"/>
        <v>[4,4,4]</v>
      </c>
      <c r="AN179" s="60" t="str">
        <f>VLOOKUP(T179,物品id!$A:$B,2,FALSE)&amp;","</f>
        <v>102,</v>
      </c>
      <c r="AO179" s="17" t="str">
        <f t="shared" si="298"/>
        <v>[102]</v>
      </c>
      <c r="AP179" s="60" t="str">
        <f t="shared" si="293"/>
        <v>120,</v>
      </c>
      <c r="AQ179" s="17" t="str">
        <f t="shared" si="299"/>
        <v>[120]</v>
      </c>
      <c r="AR179" s="60" t="str">
        <f>IF(V179="","",VLOOKUP(V179,物品id!$A:$B,2,FALSE)&amp;",")</f>
        <v>20033,</v>
      </c>
      <c r="AS179" s="60" t="str">
        <f>IF(W179="","",VLOOKUP(W179,物品id!$A:$B,2,FALSE)&amp;",")</f>
        <v>102,</v>
      </c>
      <c r="AT179" s="60" t="str">
        <f t="shared" si="371"/>
        <v>20033,102,</v>
      </c>
      <c r="AU179" s="60" t="str">
        <f t="shared" si="372"/>
        <v>[20033,102]</v>
      </c>
      <c r="AV179" s="60" t="str">
        <f t="shared" si="294"/>
        <v>1,</v>
      </c>
      <c r="AW179" s="60" t="str">
        <f t="shared" si="295"/>
        <v>240,</v>
      </c>
      <c r="AX179" s="60" t="str">
        <f t="shared" si="373"/>
        <v>1,240,</v>
      </c>
      <c r="AY179" s="60" t="str">
        <f t="shared" si="374"/>
        <v>[1,240]</v>
      </c>
    </row>
    <row r="180" spans="1:51" s="60" customFormat="1" x14ac:dyDescent="0.2">
      <c r="A180" s="60">
        <v>4</v>
      </c>
      <c r="B180" s="60" t="s">
        <v>1132</v>
      </c>
      <c r="C180" s="60">
        <v>54</v>
      </c>
      <c r="D180" s="34" t="s">
        <v>1159</v>
      </c>
      <c r="E180" s="60" t="s">
        <v>135</v>
      </c>
      <c r="F180" s="60">
        <v>3</v>
      </c>
      <c r="G180" s="60" t="s">
        <v>803</v>
      </c>
      <c r="H180" s="60" t="s">
        <v>804</v>
      </c>
      <c r="I180" s="60" t="s">
        <v>806</v>
      </c>
      <c r="J180" s="17">
        <v>1</v>
      </c>
      <c r="K180" s="17">
        <v>0.8</v>
      </c>
      <c r="L180" s="17">
        <v>0.6</v>
      </c>
      <c r="M180" s="35">
        <f>(IF(G180="",挂机玩法规划!$L$2,VLOOKUP(G180,物品id!A:D,4,FALSE)*IF(J180=0,1,4))*IF(J180=0,1,J180)+IF(H180="",挂机玩法规划!$L$2,VLOOKUP(H180,物品id!A:D,4,FALSE)*IF(K180=0,1,4))*IF(K180=0,1,K180)+IF(I180="",挂机玩法规划!$L$2,VLOOKUP(I180,物品id!A:D,4,FALSE)*IF(L180=0,1,4))*IF(L180=0,1,L180))/O180</f>
        <v>0.73333333333333328</v>
      </c>
      <c r="N180" s="44">
        <f>IF(G180="",挂机玩法规划!$L$2,VLOOKUP(G180,物品id!A:D,4,FALSE)*4)+IF(H180="",挂机玩法规划!$L$2,VLOOKUP(H180,物品id!A:D,4,FALSE)*4)+IF(I180="",挂机玩法规划!$L$2,VLOOKUP(I180,物品id!A:D,4,FALSE)*4)</f>
        <v>240</v>
      </c>
      <c r="O180" s="61">
        <v>240</v>
      </c>
      <c r="P180" s="60">
        <v>4</v>
      </c>
      <c r="Q180" s="60">
        <v>4</v>
      </c>
      <c r="R180" s="60">
        <v>4</v>
      </c>
      <c r="S180" s="60">
        <v>240</v>
      </c>
      <c r="T180" s="60" t="s">
        <v>835</v>
      </c>
      <c r="U180" s="60">
        <v>240</v>
      </c>
      <c r="V180" s="60" t="s">
        <v>837</v>
      </c>
      <c r="W180" s="60" t="s">
        <v>200</v>
      </c>
      <c r="X180" s="60">
        <v>2</v>
      </c>
      <c r="Y180" s="60">
        <f>U180*挂机玩法规划!$O$4*VLOOKUP(E180,挂机玩法规划!$G$2:$I$17,3,FALSE)</f>
        <v>480</v>
      </c>
      <c r="Z180" s="17">
        <f t="shared" si="296"/>
        <v>1.4666666666666666</v>
      </c>
      <c r="AA180" s="17">
        <f t="shared" si="297"/>
        <v>352</v>
      </c>
      <c r="AB180" s="17">
        <f>(VLOOKUP(V180,物品id!A:E,5,FALSE)*挂机玩法填表!Z180+VLOOKUP(挂机玩法填表!W180,物品id!A:E,5,FALSE)*挂机玩法填表!AA180)/(U180/60)</f>
        <v>45.936</v>
      </c>
      <c r="AD180" s="60" t="str">
        <f>IF(G180="","",VLOOKUP(G180,物品id!$A:$B,2,FALSE)&amp;",")</f>
        <v>1111,</v>
      </c>
      <c r="AE180" s="60" t="str">
        <f>IF(H180="","",VLOOKUP(H180,物品id!$A:$B,2,FALSE)&amp;",")</f>
        <v>1211,</v>
      </c>
      <c r="AF180" s="60" t="str">
        <f>IF(I180="","",VLOOKUP(I180,物品id!$A:$B,2,FALSE)&amp;",")</f>
        <v>1311,</v>
      </c>
      <c r="AG180" s="60" t="str">
        <f t="shared" si="367"/>
        <v>1111,1211,1311,</v>
      </c>
      <c r="AH180" s="60" t="str">
        <f t="shared" si="368"/>
        <v>[1111,1211,1311]</v>
      </c>
      <c r="AI180" s="17" t="str">
        <f t="shared" si="364"/>
        <v>4,</v>
      </c>
      <c r="AJ180" s="17" t="str">
        <f t="shared" si="365"/>
        <v>4,</v>
      </c>
      <c r="AK180" s="17" t="str">
        <f t="shared" si="366"/>
        <v>4,</v>
      </c>
      <c r="AL180" s="60" t="str">
        <f t="shared" si="369"/>
        <v>4,4,4,</v>
      </c>
      <c r="AM180" s="60" t="str">
        <f t="shared" si="370"/>
        <v>[4,4,4]</v>
      </c>
      <c r="AN180" s="60" t="str">
        <f>VLOOKUP(T180,物品id!$A:$B,2,FALSE)&amp;","</f>
        <v>102,</v>
      </c>
      <c r="AO180" s="17" t="str">
        <f t="shared" si="298"/>
        <v>[102]</v>
      </c>
      <c r="AP180" s="60" t="str">
        <f t="shared" si="293"/>
        <v>240,</v>
      </c>
      <c r="AQ180" s="17" t="str">
        <f t="shared" si="299"/>
        <v>[240]</v>
      </c>
      <c r="AR180" s="60" t="str">
        <f>IF(V180="","",VLOOKUP(V180,物品id!$A:$B,2,FALSE)&amp;",")</f>
        <v>20033,</v>
      </c>
      <c r="AS180" s="60" t="str">
        <f>IF(W180="","",VLOOKUP(W180,物品id!$A:$B,2,FALSE)&amp;",")</f>
        <v>102,</v>
      </c>
      <c r="AT180" s="60" t="str">
        <f t="shared" si="371"/>
        <v>20033,102,</v>
      </c>
      <c r="AU180" s="60" t="str">
        <f t="shared" si="372"/>
        <v>[20033,102]</v>
      </c>
      <c r="AV180" s="60" t="str">
        <f t="shared" si="294"/>
        <v>2,</v>
      </c>
      <c r="AW180" s="60" t="str">
        <f t="shared" si="295"/>
        <v>480,</v>
      </c>
      <c r="AX180" s="60" t="str">
        <f t="shared" si="373"/>
        <v>2,480,</v>
      </c>
      <c r="AY180" s="60" t="str">
        <f t="shared" si="374"/>
        <v>[2,480]</v>
      </c>
    </row>
    <row r="181" spans="1:51" s="60" customFormat="1" x14ac:dyDescent="0.2">
      <c r="A181" s="60">
        <v>4</v>
      </c>
      <c r="B181" s="60" t="s">
        <v>1132</v>
      </c>
      <c r="C181" s="60">
        <v>54</v>
      </c>
      <c r="D181" s="34" t="s">
        <v>1159</v>
      </c>
      <c r="E181" s="60" t="s">
        <v>135</v>
      </c>
      <c r="F181" s="60">
        <v>3</v>
      </c>
      <c r="G181" s="60" t="s">
        <v>814</v>
      </c>
      <c r="H181" s="60" t="s">
        <v>815</v>
      </c>
      <c r="I181" s="60" t="s">
        <v>817</v>
      </c>
      <c r="J181" s="17">
        <v>1</v>
      </c>
      <c r="K181" s="17">
        <v>0.8</v>
      </c>
      <c r="L181" s="17">
        <v>0.6</v>
      </c>
      <c r="M181" s="35">
        <f>(IF(G181="",挂机玩法规划!$L$2,VLOOKUP(G181,物品id!A:D,4,FALSE)*IF(J181=0,1,4))*IF(J181=0,1,J181)+IF(H181="",挂机玩法规划!$L$2,VLOOKUP(H181,物品id!A:D,4,FALSE)*IF(K181=0,1,4))*IF(K181=0,1,K181)+IF(I181="",挂机玩法规划!$L$2,VLOOKUP(I181,物品id!A:D,4,FALSE)*IF(L181=0,1,4))*IF(L181=0,1,L181))/O181</f>
        <v>0.73333333333333328</v>
      </c>
      <c r="N181" s="44">
        <f>IF(G181="",挂机玩法规划!$L$2,VLOOKUP(G181,物品id!A:D,4,FALSE)*4)+IF(H181="",挂机玩法规划!$L$2,VLOOKUP(H181,物品id!A:D,4,FALSE)*4)+IF(I181="",挂机玩法规划!$L$2,VLOOKUP(I181,物品id!A:D,4,FALSE)*4)</f>
        <v>240</v>
      </c>
      <c r="O181" s="61">
        <v>240</v>
      </c>
      <c r="P181" s="60">
        <v>4</v>
      </c>
      <c r="Q181" s="60">
        <v>4</v>
      </c>
      <c r="R181" s="60">
        <v>4</v>
      </c>
      <c r="S181" s="60">
        <v>240</v>
      </c>
      <c r="T181" s="60" t="s">
        <v>835</v>
      </c>
      <c r="U181" s="60">
        <v>240</v>
      </c>
      <c r="V181" s="60" t="s">
        <v>837</v>
      </c>
      <c r="W181" s="60" t="s">
        <v>200</v>
      </c>
      <c r="X181" s="60">
        <v>2</v>
      </c>
      <c r="Y181" s="60">
        <f>U181*挂机玩法规划!$O$4*VLOOKUP(E181,挂机玩法规划!$G$2:$I$17,3,FALSE)</f>
        <v>480</v>
      </c>
      <c r="Z181" s="17">
        <f t="shared" si="296"/>
        <v>1.4666666666666666</v>
      </c>
      <c r="AA181" s="17">
        <f t="shared" si="297"/>
        <v>352</v>
      </c>
      <c r="AB181" s="17">
        <f>(VLOOKUP(V181,物品id!A:E,5,FALSE)*挂机玩法填表!Z181+VLOOKUP(挂机玩法填表!W181,物品id!A:E,5,FALSE)*挂机玩法填表!AA181)/(U181/60)</f>
        <v>45.936</v>
      </c>
      <c r="AD181" s="60" t="str">
        <f>IF(G181="","",VLOOKUP(G181,物品id!$A:$B,2,FALSE)&amp;",")</f>
        <v>2111,</v>
      </c>
      <c r="AE181" s="60" t="str">
        <f>IF(H181="","",VLOOKUP(H181,物品id!$A:$B,2,FALSE)&amp;",")</f>
        <v>2211,</v>
      </c>
      <c r="AF181" s="60" t="str">
        <f>IF(I181="","",VLOOKUP(I181,物品id!$A:$B,2,FALSE)&amp;",")</f>
        <v>2311,</v>
      </c>
      <c r="AG181" s="60" t="str">
        <f t="shared" si="367"/>
        <v>2111,2211,2311,</v>
      </c>
      <c r="AH181" s="60" t="str">
        <f t="shared" si="368"/>
        <v>[2111,2211,2311]</v>
      </c>
      <c r="AI181" s="17" t="str">
        <f t="shared" si="364"/>
        <v>4,</v>
      </c>
      <c r="AJ181" s="17" t="str">
        <f t="shared" si="365"/>
        <v>4,</v>
      </c>
      <c r="AK181" s="17" t="str">
        <f t="shared" si="366"/>
        <v>4,</v>
      </c>
      <c r="AL181" s="60" t="str">
        <f t="shared" si="369"/>
        <v>4,4,4,</v>
      </c>
      <c r="AM181" s="60" t="str">
        <f t="shared" si="370"/>
        <v>[4,4,4]</v>
      </c>
      <c r="AN181" s="60" t="str">
        <f>VLOOKUP(T181,物品id!$A:$B,2,FALSE)&amp;","</f>
        <v>102,</v>
      </c>
      <c r="AO181" s="17" t="str">
        <f t="shared" si="298"/>
        <v>[102]</v>
      </c>
      <c r="AP181" s="60" t="str">
        <f t="shared" si="293"/>
        <v>240,</v>
      </c>
      <c r="AQ181" s="17" t="str">
        <f t="shared" si="299"/>
        <v>[240]</v>
      </c>
      <c r="AR181" s="60" t="str">
        <f>IF(V181="","",VLOOKUP(V181,物品id!$A:$B,2,FALSE)&amp;",")</f>
        <v>20033,</v>
      </c>
      <c r="AS181" s="60" t="str">
        <f>IF(W181="","",VLOOKUP(W181,物品id!$A:$B,2,FALSE)&amp;",")</f>
        <v>102,</v>
      </c>
      <c r="AT181" s="60" t="str">
        <f t="shared" si="371"/>
        <v>20033,102,</v>
      </c>
      <c r="AU181" s="60" t="str">
        <f t="shared" si="372"/>
        <v>[20033,102]</v>
      </c>
      <c r="AV181" s="60" t="str">
        <f t="shared" si="294"/>
        <v>2,</v>
      </c>
      <c r="AW181" s="60" t="str">
        <f t="shared" si="295"/>
        <v>480,</v>
      </c>
      <c r="AX181" s="60" t="str">
        <f t="shared" si="373"/>
        <v>2,480,</v>
      </c>
      <c r="AY181" s="60" t="str">
        <f t="shared" si="374"/>
        <v>[2,480]</v>
      </c>
    </row>
    <row r="182" spans="1:51" s="60" customFormat="1" x14ac:dyDescent="0.2">
      <c r="A182" s="60">
        <v>4</v>
      </c>
      <c r="B182" s="60" t="s">
        <v>1132</v>
      </c>
      <c r="C182" s="60">
        <v>54</v>
      </c>
      <c r="D182" s="34" t="s">
        <v>1159</v>
      </c>
      <c r="E182" s="60" t="s">
        <v>135</v>
      </c>
      <c r="F182" s="60">
        <v>3</v>
      </c>
      <c r="G182" s="60" t="s">
        <v>824</v>
      </c>
      <c r="H182" s="60" t="s">
        <v>825</v>
      </c>
      <c r="I182" s="60" t="s">
        <v>827</v>
      </c>
      <c r="J182" s="17">
        <v>1</v>
      </c>
      <c r="K182" s="17">
        <v>0.8</v>
      </c>
      <c r="L182" s="17">
        <v>0.6</v>
      </c>
      <c r="M182" s="35">
        <f>(IF(G182="",挂机玩法规划!$L$2,VLOOKUP(G182,物品id!A:D,4,FALSE)*IF(J182=0,1,4))*IF(J182=0,1,J182)+IF(H182="",挂机玩法规划!$L$2,VLOOKUP(H182,物品id!A:D,4,FALSE)*IF(K182=0,1,4))*IF(K182=0,1,K182)+IF(I182="",挂机玩法规划!$L$2,VLOOKUP(I182,物品id!A:D,4,FALSE)*IF(L182=0,1,4))*IF(L182=0,1,L182))/O182</f>
        <v>0.73333333333333328</v>
      </c>
      <c r="N182" s="44">
        <f>IF(G182="",挂机玩法规划!$L$2,VLOOKUP(G182,物品id!A:D,4,FALSE)*4)+IF(H182="",挂机玩法规划!$L$2,VLOOKUP(H182,物品id!A:D,4,FALSE)*4)+IF(I182="",挂机玩法规划!$L$2,VLOOKUP(I182,物品id!A:D,4,FALSE)*4)</f>
        <v>240</v>
      </c>
      <c r="O182" s="61">
        <v>240</v>
      </c>
      <c r="P182" s="60">
        <v>4</v>
      </c>
      <c r="Q182" s="60">
        <v>4</v>
      </c>
      <c r="R182" s="60">
        <v>4</v>
      </c>
      <c r="S182" s="60">
        <v>240</v>
      </c>
      <c r="T182" s="60" t="s">
        <v>835</v>
      </c>
      <c r="U182" s="60">
        <v>240</v>
      </c>
      <c r="V182" s="60" t="s">
        <v>837</v>
      </c>
      <c r="W182" s="60" t="s">
        <v>200</v>
      </c>
      <c r="X182" s="60">
        <v>2</v>
      </c>
      <c r="Y182" s="60">
        <f>U182*挂机玩法规划!$O$4*VLOOKUP(E182,挂机玩法规划!$G$2:$I$17,3,FALSE)</f>
        <v>480</v>
      </c>
      <c r="Z182" s="17">
        <f t="shared" si="296"/>
        <v>1.4666666666666666</v>
      </c>
      <c r="AA182" s="17">
        <f t="shared" si="297"/>
        <v>352</v>
      </c>
      <c r="AB182" s="17">
        <f>(VLOOKUP(V182,物品id!A:E,5,FALSE)*挂机玩法填表!Z182+VLOOKUP(挂机玩法填表!W182,物品id!A:E,5,FALSE)*挂机玩法填表!AA182)/(U182/60)</f>
        <v>45.936</v>
      </c>
      <c r="AD182" s="60" t="str">
        <f>IF(G182="","",VLOOKUP(G182,物品id!$A:$B,2,FALSE)&amp;",")</f>
        <v>3111,</v>
      </c>
      <c r="AE182" s="60" t="str">
        <f>IF(H182="","",VLOOKUP(H182,物品id!$A:$B,2,FALSE)&amp;",")</f>
        <v>3211,</v>
      </c>
      <c r="AF182" s="60" t="str">
        <f>IF(I182="","",VLOOKUP(I182,物品id!$A:$B,2,FALSE)&amp;",")</f>
        <v>3311,</v>
      </c>
      <c r="AG182" s="60" t="str">
        <f t="shared" si="367"/>
        <v>3111,3211,3311,</v>
      </c>
      <c r="AH182" s="60" t="str">
        <f t="shared" si="368"/>
        <v>[3111,3211,3311]</v>
      </c>
      <c r="AI182" s="17" t="str">
        <f t="shared" si="364"/>
        <v>4,</v>
      </c>
      <c r="AJ182" s="17" t="str">
        <f t="shared" si="365"/>
        <v>4,</v>
      </c>
      <c r="AK182" s="17" t="str">
        <f t="shared" si="366"/>
        <v>4,</v>
      </c>
      <c r="AL182" s="60" t="str">
        <f t="shared" si="369"/>
        <v>4,4,4,</v>
      </c>
      <c r="AM182" s="60" t="str">
        <f t="shared" si="370"/>
        <v>[4,4,4]</v>
      </c>
      <c r="AN182" s="60" t="str">
        <f>VLOOKUP(T182,物品id!$A:$B,2,FALSE)&amp;","</f>
        <v>102,</v>
      </c>
      <c r="AO182" s="17" t="str">
        <f t="shared" si="298"/>
        <v>[102]</v>
      </c>
      <c r="AP182" s="60" t="str">
        <f t="shared" si="293"/>
        <v>240,</v>
      </c>
      <c r="AQ182" s="17" t="str">
        <f t="shared" si="299"/>
        <v>[240]</v>
      </c>
      <c r="AR182" s="60" t="str">
        <f>IF(V182="","",VLOOKUP(V182,物品id!$A:$B,2,FALSE)&amp;",")</f>
        <v>20033,</v>
      </c>
      <c r="AS182" s="60" t="str">
        <f>IF(W182="","",VLOOKUP(W182,物品id!$A:$B,2,FALSE)&amp;",")</f>
        <v>102,</v>
      </c>
      <c r="AT182" s="60" t="str">
        <f t="shared" si="371"/>
        <v>20033,102,</v>
      </c>
      <c r="AU182" s="60" t="str">
        <f t="shared" si="372"/>
        <v>[20033,102]</v>
      </c>
      <c r="AV182" s="60" t="str">
        <f t="shared" si="294"/>
        <v>2,</v>
      </c>
      <c r="AW182" s="60" t="str">
        <f t="shared" si="295"/>
        <v>480,</v>
      </c>
      <c r="AX182" s="60" t="str">
        <f t="shared" si="373"/>
        <v>2,480,</v>
      </c>
      <c r="AY182" s="60" t="str">
        <f t="shared" si="374"/>
        <v>[2,480]</v>
      </c>
    </row>
    <row r="183" spans="1:51" s="60" customFormat="1" x14ac:dyDescent="0.2">
      <c r="A183" s="60">
        <v>4</v>
      </c>
      <c r="B183" s="60" t="s">
        <v>1132</v>
      </c>
      <c r="C183" s="60">
        <v>55</v>
      </c>
      <c r="D183" s="34" t="s">
        <v>1160</v>
      </c>
      <c r="E183" s="60" t="s">
        <v>135</v>
      </c>
      <c r="F183" s="60">
        <v>3</v>
      </c>
      <c r="G183" s="60" t="s">
        <v>804</v>
      </c>
      <c r="H183" s="60" t="s">
        <v>805</v>
      </c>
      <c r="I183" s="60" t="s">
        <v>806</v>
      </c>
      <c r="J183" s="17">
        <v>1</v>
      </c>
      <c r="K183" s="17">
        <v>0.8</v>
      </c>
      <c r="L183" s="17">
        <v>0.6</v>
      </c>
      <c r="M183" s="35">
        <f>(IF(G183="",挂机玩法规划!$L$2,VLOOKUP(G183,物品id!A:D,4,FALSE)*IF(J183=0,1,4))*IF(J183=0,1,J183)+IF(H183="",挂机玩法规划!$L$2,VLOOKUP(H183,物品id!A:D,4,FALSE)*IF(K183=0,1,4))*IF(K183=0,1,K183)+IF(I183="",挂机玩法规划!$L$2,VLOOKUP(I183,物品id!A:D,4,FALSE)*IF(L183=0,1,4))*IF(L183=0,1,L183))/O183</f>
        <v>0.77142857142857146</v>
      </c>
      <c r="N183" s="44">
        <f>IF(G183="",挂机玩法规划!$L$2,VLOOKUP(G183,物品id!A:D,4,FALSE)*4)+IF(H183="",挂机玩法规划!$L$2,VLOOKUP(H183,物品id!A:D,4,FALSE)*4)+IF(I183="",挂机玩法规划!$L$2,VLOOKUP(I183,物品id!A:D,4,FALSE)*4)</f>
        <v>280</v>
      </c>
      <c r="O183" s="61">
        <v>280</v>
      </c>
      <c r="P183" s="60">
        <v>4</v>
      </c>
      <c r="Q183" s="60">
        <v>4</v>
      </c>
      <c r="R183" s="60">
        <v>4</v>
      </c>
      <c r="S183" s="60">
        <v>480</v>
      </c>
      <c r="T183" s="60" t="s">
        <v>835</v>
      </c>
      <c r="U183" s="60">
        <v>480</v>
      </c>
      <c r="V183" s="60" t="s">
        <v>1047</v>
      </c>
      <c r="W183" s="60" t="s">
        <v>200</v>
      </c>
      <c r="X183" s="60">
        <v>3</v>
      </c>
      <c r="Y183" s="60">
        <f>U183*挂机玩法规划!$O$4*VLOOKUP(E183,挂机玩法规划!$G$2:$I$17,3,FALSE)</f>
        <v>960</v>
      </c>
      <c r="Z183" s="17">
        <f t="shared" si="296"/>
        <v>2.3142857142857145</v>
      </c>
      <c r="AA183" s="17">
        <f t="shared" si="297"/>
        <v>740.57142857142856</v>
      </c>
      <c r="AB183" s="17">
        <f>(VLOOKUP(V183,物品id!A:E,5,FALSE)*挂机玩法填表!Z183+VLOOKUP(挂机玩法填表!W183,物品id!A:E,5,FALSE)*挂机玩法填表!AA183)/(U183/60)</f>
        <v>36.750857142857143</v>
      </c>
      <c r="AD183" s="60" t="str">
        <f>IF(G183="","",VLOOKUP(G183,物品id!$A:$B,2,FALSE)&amp;",")</f>
        <v>1211,</v>
      </c>
      <c r="AE183" s="60" t="str">
        <f>IF(H183="","",VLOOKUP(H183,物品id!$A:$B,2,FALSE)&amp;",")</f>
        <v>1221,</v>
      </c>
      <c r="AF183" s="60" t="str">
        <f>IF(I183="","",VLOOKUP(I183,物品id!$A:$B,2,FALSE)&amp;",")</f>
        <v>1311,</v>
      </c>
      <c r="AG183" s="60" t="str">
        <f t="shared" si="367"/>
        <v>1211,1221,1311,</v>
      </c>
      <c r="AH183" s="60" t="str">
        <f t="shared" si="368"/>
        <v>[1211,1221,1311]</v>
      </c>
      <c r="AI183" s="17" t="str">
        <f t="shared" si="364"/>
        <v>4,</v>
      </c>
      <c r="AJ183" s="17" t="str">
        <f t="shared" si="365"/>
        <v>4,</v>
      </c>
      <c r="AK183" s="17" t="str">
        <f t="shared" si="366"/>
        <v>4,</v>
      </c>
      <c r="AL183" s="60" t="str">
        <f t="shared" si="369"/>
        <v>4,4,4,</v>
      </c>
      <c r="AM183" s="60" t="str">
        <f t="shared" si="370"/>
        <v>[4,4,4]</v>
      </c>
      <c r="AN183" s="60" t="str">
        <f>VLOOKUP(T183,物品id!$A:$B,2,FALSE)&amp;","</f>
        <v>102,</v>
      </c>
      <c r="AO183" s="17" t="str">
        <f t="shared" si="298"/>
        <v>[102]</v>
      </c>
      <c r="AP183" s="60" t="str">
        <f t="shared" si="293"/>
        <v>480,</v>
      </c>
      <c r="AQ183" s="17" t="str">
        <f t="shared" si="299"/>
        <v>[480]</v>
      </c>
      <c r="AR183" s="60" t="str">
        <f>IF(V183="","",VLOOKUP(V183,物品id!$A:$B,2,FALSE)&amp;",")</f>
        <v>20033,</v>
      </c>
      <c r="AS183" s="60" t="str">
        <f>IF(W183="","",VLOOKUP(W183,物品id!$A:$B,2,FALSE)&amp;",")</f>
        <v>102,</v>
      </c>
      <c r="AT183" s="60" t="str">
        <f t="shared" si="371"/>
        <v>20033,102,</v>
      </c>
      <c r="AU183" s="60" t="str">
        <f t="shared" si="372"/>
        <v>[20033,102]</v>
      </c>
      <c r="AV183" s="60" t="str">
        <f t="shared" si="294"/>
        <v>3,</v>
      </c>
      <c r="AW183" s="60" t="str">
        <f t="shared" si="295"/>
        <v>960,</v>
      </c>
      <c r="AX183" s="60" t="str">
        <f t="shared" si="373"/>
        <v>3,960,</v>
      </c>
      <c r="AY183" s="60" t="str">
        <f t="shared" si="374"/>
        <v>[3,960]</v>
      </c>
    </row>
    <row r="184" spans="1:51" s="60" customFormat="1" x14ac:dyDescent="0.2">
      <c r="A184" s="60">
        <v>4</v>
      </c>
      <c r="B184" s="60" t="s">
        <v>1132</v>
      </c>
      <c r="C184" s="60">
        <v>55</v>
      </c>
      <c r="D184" s="34" t="s">
        <v>1160</v>
      </c>
      <c r="E184" s="60" t="s">
        <v>135</v>
      </c>
      <c r="F184" s="60">
        <v>3</v>
      </c>
      <c r="G184" s="60" t="s">
        <v>815</v>
      </c>
      <c r="H184" s="60" t="s">
        <v>816</v>
      </c>
      <c r="I184" s="60" t="s">
        <v>817</v>
      </c>
      <c r="J184" s="17">
        <v>1</v>
      </c>
      <c r="K184" s="17">
        <v>0.8</v>
      </c>
      <c r="L184" s="17">
        <v>0.6</v>
      </c>
      <c r="M184" s="35">
        <f>(IF(G184="",挂机玩法规划!$L$2,VLOOKUP(G184,物品id!A:D,4,FALSE)*IF(J184=0,1,4))*IF(J184=0,1,J184)+IF(H184="",挂机玩法规划!$L$2,VLOOKUP(H184,物品id!A:D,4,FALSE)*IF(K184=0,1,4))*IF(K184=0,1,K184)+IF(I184="",挂机玩法规划!$L$2,VLOOKUP(I184,物品id!A:D,4,FALSE)*IF(L184=0,1,4))*IF(L184=0,1,L184))/O184</f>
        <v>0.77142857142857146</v>
      </c>
      <c r="N184" s="44">
        <f>IF(G184="",挂机玩法规划!$L$2,VLOOKUP(G184,物品id!A:D,4,FALSE)*4)+IF(H184="",挂机玩法规划!$L$2,VLOOKUP(H184,物品id!A:D,4,FALSE)*4)+IF(I184="",挂机玩法规划!$L$2,VLOOKUP(I184,物品id!A:D,4,FALSE)*4)</f>
        <v>280</v>
      </c>
      <c r="O184" s="61">
        <v>280</v>
      </c>
      <c r="P184" s="60">
        <v>4</v>
      </c>
      <c r="Q184" s="60">
        <v>4</v>
      </c>
      <c r="R184" s="60">
        <v>4</v>
      </c>
      <c r="S184" s="60">
        <v>480</v>
      </c>
      <c r="T184" s="60" t="s">
        <v>835</v>
      </c>
      <c r="U184" s="60">
        <v>480</v>
      </c>
      <c r="V184" s="60" t="s">
        <v>1047</v>
      </c>
      <c r="W184" s="60" t="s">
        <v>200</v>
      </c>
      <c r="X184" s="60">
        <v>3</v>
      </c>
      <c r="Y184" s="60">
        <f>U184*挂机玩法规划!$O$4*VLOOKUP(E184,挂机玩法规划!$G$2:$I$17,3,FALSE)</f>
        <v>960</v>
      </c>
      <c r="Z184" s="17">
        <f t="shared" si="296"/>
        <v>2.3142857142857145</v>
      </c>
      <c r="AA184" s="17">
        <f t="shared" si="297"/>
        <v>740.57142857142856</v>
      </c>
      <c r="AB184" s="17">
        <f>(VLOOKUP(V184,物品id!A:E,5,FALSE)*挂机玩法填表!Z184+VLOOKUP(挂机玩法填表!W184,物品id!A:E,5,FALSE)*挂机玩法填表!AA184)/(U184/60)</f>
        <v>36.750857142857143</v>
      </c>
      <c r="AD184" s="60" t="str">
        <f>IF(G184="","",VLOOKUP(G184,物品id!$A:$B,2,FALSE)&amp;",")</f>
        <v>2211,</v>
      </c>
      <c r="AE184" s="60" t="str">
        <f>IF(H184="","",VLOOKUP(H184,物品id!$A:$B,2,FALSE)&amp;",")</f>
        <v>2221,</v>
      </c>
      <c r="AF184" s="60" t="str">
        <f>IF(I184="","",VLOOKUP(I184,物品id!$A:$B,2,FALSE)&amp;",")</f>
        <v>2311,</v>
      </c>
      <c r="AG184" s="60" t="str">
        <f t="shared" si="367"/>
        <v>2211,2221,2311,</v>
      </c>
      <c r="AH184" s="60" t="str">
        <f t="shared" si="368"/>
        <v>[2211,2221,2311]</v>
      </c>
      <c r="AI184" s="17" t="str">
        <f t="shared" si="364"/>
        <v>4,</v>
      </c>
      <c r="AJ184" s="17" t="str">
        <f t="shared" si="365"/>
        <v>4,</v>
      </c>
      <c r="AK184" s="17" t="str">
        <f t="shared" si="366"/>
        <v>4,</v>
      </c>
      <c r="AL184" s="60" t="str">
        <f t="shared" si="369"/>
        <v>4,4,4,</v>
      </c>
      <c r="AM184" s="60" t="str">
        <f t="shared" si="370"/>
        <v>[4,4,4]</v>
      </c>
      <c r="AN184" s="60" t="str">
        <f>VLOOKUP(T184,物品id!$A:$B,2,FALSE)&amp;","</f>
        <v>102,</v>
      </c>
      <c r="AO184" s="17" t="str">
        <f t="shared" si="298"/>
        <v>[102]</v>
      </c>
      <c r="AP184" s="60" t="str">
        <f t="shared" si="293"/>
        <v>480,</v>
      </c>
      <c r="AQ184" s="17" t="str">
        <f t="shared" si="299"/>
        <v>[480]</v>
      </c>
      <c r="AR184" s="60" t="str">
        <f>IF(V184="","",VLOOKUP(V184,物品id!$A:$B,2,FALSE)&amp;",")</f>
        <v>20033,</v>
      </c>
      <c r="AS184" s="60" t="str">
        <f>IF(W184="","",VLOOKUP(W184,物品id!$A:$B,2,FALSE)&amp;",")</f>
        <v>102,</v>
      </c>
      <c r="AT184" s="60" t="str">
        <f t="shared" si="371"/>
        <v>20033,102,</v>
      </c>
      <c r="AU184" s="60" t="str">
        <f t="shared" si="372"/>
        <v>[20033,102]</v>
      </c>
      <c r="AV184" s="60" t="str">
        <f t="shared" si="294"/>
        <v>3,</v>
      </c>
      <c r="AW184" s="60" t="str">
        <f t="shared" si="295"/>
        <v>960,</v>
      </c>
      <c r="AX184" s="60" t="str">
        <f t="shared" si="373"/>
        <v>3,960,</v>
      </c>
      <c r="AY184" s="60" t="str">
        <f t="shared" si="374"/>
        <v>[3,960]</v>
      </c>
    </row>
    <row r="185" spans="1:51" s="60" customFormat="1" x14ac:dyDescent="0.2">
      <c r="A185" s="60">
        <v>4</v>
      </c>
      <c r="B185" s="60" t="s">
        <v>1132</v>
      </c>
      <c r="C185" s="60">
        <v>55</v>
      </c>
      <c r="D185" s="34" t="s">
        <v>1160</v>
      </c>
      <c r="E185" s="60" t="s">
        <v>135</v>
      </c>
      <c r="F185" s="60">
        <v>3</v>
      </c>
      <c r="G185" s="60" t="s">
        <v>825</v>
      </c>
      <c r="H185" s="60" t="s">
        <v>826</v>
      </c>
      <c r="I185" s="60" t="s">
        <v>827</v>
      </c>
      <c r="J185" s="17">
        <v>1</v>
      </c>
      <c r="K185" s="17">
        <v>0.8</v>
      </c>
      <c r="L185" s="17">
        <v>0.6</v>
      </c>
      <c r="M185" s="35">
        <f>(IF(G185="",挂机玩法规划!$L$2,VLOOKUP(G185,物品id!A:D,4,FALSE)*IF(J185=0,1,4))*IF(J185=0,1,J185)+IF(H185="",挂机玩法规划!$L$2,VLOOKUP(H185,物品id!A:D,4,FALSE)*IF(K185=0,1,4))*IF(K185=0,1,K185)+IF(I185="",挂机玩法规划!$L$2,VLOOKUP(I185,物品id!A:D,4,FALSE)*IF(L185=0,1,4))*IF(L185=0,1,L185))/O185</f>
        <v>0.77142857142857146</v>
      </c>
      <c r="N185" s="44">
        <f>IF(G185="",挂机玩法规划!$L$2,VLOOKUP(G185,物品id!A:D,4,FALSE)*4)+IF(H185="",挂机玩法规划!$L$2,VLOOKUP(H185,物品id!A:D,4,FALSE)*4)+IF(I185="",挂机玩法规划!$L$2,VLOOKUP(I185,物品id!A:D,4,FALSE)*4)</f>
        <v>280</v>
      </c>
      <c r="O185" s="61">
        <v>280</v>
      </c>
      <c r="P185" s="60">
        <v>4</v>
      </c>
      <c r="Q185" s="60">
        <v>4</v>
      </c>
      <c r="R185" s="60">
        <v>4</v>
      </c>
      <c r="S185" s="60">
        <v>480</v>
      </c>
      <c r="T185" s="60" t="s">
        <v>835</v>
      </c>
      <c r="U185" s="60">
        <v>480</v>
      </c>
      <c r="V185" s="60" t="s">
        <v>1047</v>
      </c>
      <c r="W185" s="60" t="s">
        <v>200</v>
      </c>
      <c r="X185" s="60">
        <v>3</v>
      </c>
      <c r="Y185" s="60">
        <f>U185*挂机玩法规划!$O$4*VLOOKUP(E185,挂机玩法规划!$G$2:$I$17,3,FALSE)</f>
        <v>960</v>
      </c>
      <c r="Z185" s="17">
        <f t="shared" si="296"/>
        <v>2.3142857142857145</v>
      </c>
      <c r="AA185" s="17">
        <f t="shared" si="297"/>
        <v>740.57142857142856</v>
      </c>
      <c r="AB185" s="17">
        <f>(VLOOKUP(V185,物品id!A:E,5,FALSE)*挂机玩法填表!Z185+VLOOKUP(挂机玩法填表!W185,物品id!A:E,5,FALSE)*挂机玩法填表!AA185)/(U185/60)</f>
        <v>36.750857142857143</v>
      </c>
      <c r="AD185" s="60" t="str">
        <f>IF(G185="","",VLOOKUP(G185,物品id!$A:$B,2,FALSE)&amp;",")</f>
        <v>3211,</v>
      </c>
      <c r="AE185" s="60" t="str">
        <f>IF(H185="","",VLOOKUP(H185,物品id!$A:$B,2,FALSE)&amp;",")</f>
        <v>3221,</v>
      </c>
      <c r="AF185" s="60" t="str">
        <f>IF(I185="","",VLOOKUP(I185,物品id!$A:$B,2,FALSE)&amp;",")</f>
        <v>3311,</v>
      </c>
      <c r="AG185" s="60" t="str">
        <f t="shared" si="367"/>
        <v>3211,3221,3311,</v>
      </c>
      <c r="AH185" s="60" t="str">
        <f t="shared" si="368"/>
        <v>[3211,3221,3311]</v>
      </c>
      <c r="AI185" s="17" t="str">
        <f t="shared" si="364"/>
        <v>4,</v>
      </c>
      <c r="AJ185" s="17" t="str">
        <f t="shared" si="365"/>
        <v>4,</v>
      </c>
      <c r="AK185" s="17" t="str">
        <f t="shared" si="366"/>
        <v>4,</v>
      </c>
      <c r="AL185" s="60" t="str">
        <f t="shared" si="369"/>
        <v>4,4,4,</v>
      </c>
      <c r="AM185" s="60" t="str">
        <f t="shared" si="370"/>
        <v>[4,4,4]</v>
      </c>
      <c r="AN185" s="60" t="str">
        <f>VLOOKUP(T185,物品id!$A:$B,2,FALSE)&amp;","</f>
        <v>102,</v>
      </c>
      <c r="AO185" s="17" t="str">
        <f t="shared" si="298"/>
        <v>[102]</v>
      </c>
      <c r="AP185" s="60" t="str">
        <f t="shared" si="293"/>
        <v>480,</v>
      </c>
      <c r="AQ185" s="17" t="str">
        <f t="shared" si="299"/>
        <v>[480]</v>
      </c>
      <c r="AR185" s="60" t="str">
        <f>IF(V185="","",VLOOKUP(V185,物品id!$A:$B,2,FALSE)&amp;",")</f>
        <v>20033,</v>
      </c>
      <c r="AS185" s="60" t="str">
        <f>IF(W185="","",VLOOKUP(W185,物品id!$A:$B,2,FALSE)&amp;",")</f>
        <v>102,</v>
      </c>
      <c r="AT185" s="60" t="str">
        <f t="shared" si="371"/>
        <v>20033,102,</v>
      </c>
      <c r="AU185" s="60" t="str">
        <f t="shared" si="372"/>
        <v>[20033,102]</v>
      </c>
      <c r="AV185" s="60" t="str">
        <f t="shared" si="294"/>
        <v>3,</v>
      </c>
      <c r="AW185" s="60" t="str">
        <f t="shared" si="295"/>
        <v>960,</v>
      </c>
      <c r="AX185" s="60" t="str">
        <f t="shared" si="373"/>
        <v>3,960,</v>
      </c>
      <c r="AY185" s="60" t="str">
        <f t="shared" si="374"/>
        <v>[3,960]</v>
      </c>
    </row>
    <row r="186" spans="1:51" s="60" customFormat="1" x14ac:dyDescent="0.2">
      <c r="A186" s="60">
        <v>1</v>
      </c>
      <c r="B186" s="60" t="s">
        <v>1132</v>
      </c>
      <c r="C186" s="60">
        <v>56</v>
      </c>
      <c r="D186" s="34" t="s">
        <v>1161</v>
      </c>
      <c r="E186" s="60" t="s">
        <v>1016</v>
      </c>
      <c r="F186" s="60">
        <v>3</v>
      </c>
      <c r="G186" s="60" t="s">
        <v>806</v>
      </c>
      <c r="H186" s="60" t="s">
        <v>817</v>
      </c>
      <c r="I186" s="60" t="s">
        <v>827</v>
      </c>
      <c r="J186" s="17">
        <v>0.6</v>
      </c>
      <c r="K186" s="17">
        <v>0.6</v>
      </c>
      <c r="L186" s="17">
        <v>0.6</v>
      </c>
      <c r="M186" s="35">
        <f>(IF(G186="",挂机玩法规划!$L$2,VLOOKUP(G186,物品id!A:D,4,FALSE)*IF(J186=0,1,4))*IF(J186=0,1,J186)+IF(H186="",挂机玩法规划!$L$2,VLOOKUP(H186,物品id!A:D,4,FALSE)*IF(K186=0,1,4))*IF(K186=0,1,K186)+IF(I186="",挂机玩法规划!$L$2,VLOOKUP(I186,物品id!A:D,4,FALSE)*IF(L186=0,1,4))*IF(L186=0,1,L186))/O186</f>
        <v>0.6</v>
      </c>
      <c r="N186" s="44">
        <f>IF(G186="",挂机玩法规划!$L$2,VLOOKUP(G186,物品id!A:D,4,FALSE)*4)+IF(H186="",挂机玩法规划!$L$2,VLOOKUP(H186,物品id!A:D,4,FALSE)*4)+IF(I186="",挂机玩法规划!$L$2,VLOOKUP(I186,物品id!A:D,4,FALSE)*4)</f>
        <v>360</v>
      </c>
      <c r="O186" s="61">
        <v>360</v>
      </c>
      <c r="P186" s="60">
        <v>4</v>
      </c>
      <c r="Q186" s="60">
        <v>4</v>
      </c>
      <c r="R186" s="60">
        <v>4</v>
      </c>
      <c r="S186" s="60">
        <v>120</v>
      </c>
      <c r="T186" s="60" t="s">
        <v>835</v>
      </c>
      <c r="U186" s="60">
        <v>120</v>
      </c>
      <c r="V186" s="60" t="s">
        <v>841</v>
      </c>
      <c r="W186" s="60" t="s">
        <v>200</v>
      </c>
      <c r="X186" s="60">
        <v>1</v>
      </c>
      <c r="Y186" s="60">
        <f>U186*挂机玩法规划!$O$4*VLOOKUP(E186,挂机玩法规划!$G$2:$I$17,3,FALSE)</f>
        <v>480</v>
      </c>
      <c r="Z186" s="17">
        <f t="shared" si="296"/>
        <v>0.6</v>
      </c>
      <c r="AA186" s="17">
        <f t="shared" si="297"/>
        <v>288</v>
      </c>
      <c r="AB186" s="17">
        <f>(VLOOKUP(V186,物品id!A:E,5,FALSE)*挂机玩法填表!Z186+VLOOKUP(挂机玩法填表!W186,物品id!A:E,5,FALSE)*挂机玩法填表!AA186)/(U186/60)</f>
        <v>33.167999999999999</v>
      </c>
      <c r="AD186" s="60" t="str">
        <f>IF(G186="","",VLOOKUP(G186,物品id!$A:$B,2,FALSE)&amp;",")</f>
        <v>1311,</v>
      </c>
      <c r="AE186" s="60" t="str">
        <f>IF(H186="","",VLOOKUP(H186,物品id!$A:$B,2,FALSE)&amp;",")</f>
        <v>2311,</v>
      </c>
      <c r="AF186" s="60" t="str">
        <f>IF(I186="","",VLOOKUP(I186,物品id!$A:$B,2,FALSE)&amp;",")</f>
        <v>3311,</v>
      </c>
      <c r="AG186" s="60" t="str">
        <f t="shared" si="367"/>
        <v>1311,2311,3311,</v>
      </c>
      <c r="AH186" s="60" t="str">
        <f t="shared" si="368"/>
        <v>[1311,2311,3311]</v>
      </c>
      <c r="AI186" s="17" t="str">
        <f t="shared" si="364"/>
        <v>4,</v>
      </c>
      <c r="AJ186" s="17" t="str">
        <f t="shared" si="365"/>
        <v>4,</v>
      </c>
      <c r="AK186" s="17" t="str">
        <f t="shared" si="366"/>
        <v>4,</v>
      </c>
      <c r="AL186" s="60" t="str">
        <f t="shared" si="369"/>
        <v>4,4,4,</v>
      </c>
      <c r="AM186" s="60" t="str">
        <f t="shared" si="370"/>
        <v>[4,4,4]</v>
      </c>
      <c r="AN186" s="60" t="str">
        <f>VLOOKUP(T186,物品id!$A:$B,2,FALSE)&amp;","</f>
        <v>102,</v>
      </c>
      <c r="AO186" s="17" t="str">
        <f t="shared" si="298"/>
        <v>[102]</v>
      </c>
      <c r="AP186" s="60" t="str">
        <f t="shared" si="293"/>
        <v>120,</v>
      </c>
      <c r="AQ186" s="17" t="str">
        <f t="shared" si="299"/>
        <v>[120]</v>
      </c>
      <c r="AR186" s="60" t="str">
        <f>IF(V186="","",VLOOKUP(V186,物品id!$A:$B,2,FALSE)&amp;",")</f>
        <v>20037,</v>
      </c>
      <c r="AS186" s="60" t="str">
        <f>IF(W186="","",VLOOKUP(W186,物品id!$A:$B,2,FALSE)&amp;",")</f>
        <v>102,</v>
      </c>
      <c r="AT186" s="60" t="str">
        <f t="shared" si="371"/>
        <v>20037,102,</v>
      </c>
      <c r="AU186" s="60" t="str">
        <f t="shared" si="372"/>
        <v>[20037,102]</v>
      </c>
      <c r="AV186" s="60" t="str">
        <f t="shared" si="294"/>
        <v>1,</v>
      </c>
      <c r="AW186" s="60" t="str">
        <f t="shared" si="295"/>
        <v>480,</v>
      </c>
      <c r="AX186" s="60" t="str">
        <f t="shared" si="373"/>
        <v>1,480,</v>
      </c>
      <c r="AY186" s="60" t="str">
        <f t="shared" si="374"/>
        <v>[1,480]</v>
      </c>
    </row>
    <row r="187" spans="1:51" s="60" customFormat="1" x14ac:dyDescent="0.2">
      <c r="A187" s="60">
        <v>2</v>
      </c>
      <c r="B187" s="60" t="s">
        <v>1132</v>
      </c>
      <c r="C187" s="60">
        <v>56</v>
      </c>
      <c r="D187" s="34" t="s">
        <v>1161</v>
      </c>
      <c r="E187" s="60" t="s">
        <v>1016</v>
      </c>
      <c r="F187" s="60">
        <v>3</v>
      </c>
      <c r="G187" s="60" t="s">
        <v>806</v>
      </c>
      <c r="H187" s="60" t="s">
        <v>817</v>
      </c>
      <c r="I187" s="60" t="s">
        <v>827</v>
      </c>
      <c r="J187" s="17">
        <v>0.6</v>
      </c>
      <c r="K187" s="17">
        <v>0.6</v>
      </c>
      <c r="L187" s="17">
        <v>0.6</v>
      </c>
      <c r="M187" s="35">
        <f>(IF(G187="",挂机玩法规划!$L$2,VLOOKUP(G187,物品id!A:D,4,FALSE)*IF(J187=0,1,4))*IF(J187=0,1,J187)+IF(H187="",挂机玩法规划!$L$2,VLOOKUP(H187,物品id!A:D,4,FALSE)*IF(K187=0,1,4))*IF(K187=0,1,K187)+IF(I187="",挂机玩法规划!$L$2,VLOOKUP(I187,物品id!A:D,4,FALSE)*IF(L187=0,1,4))*IF(L187=0,1,L187))/O187</f>
        <v>0.6</v>
      </c>
      <c r="N187" s="44">
        <f>IF(G187="",挂机玩法规划!$L$2,VLOOKUP(G187,物品id!A:D,4,FALSE)*4)+IF(H187="",挂机玩法规划!$L$2,VLOOKUP(H187,物品id!A:D,4,FALSE)*4)+IF(I187="",挂机玩法规划!$L$2,VLOOKUP(I187,物品id!A:D,4,FALSE)*4)</f>
        <v>360</v>
      </c>
      <c r="O187" s="61">
        <v>360</v>
      </c>
      <c r="P187" s="60">
        <v>4</v>
      </c>
      <c r="Q187" s="60">
        <v>4</v>
      </c>
      <c r="R187" s="60">
        <v>4</v>
      </c>
      <c r="S187" s="60">
        <v>240</v>
      </c>
      <c r="T187" s="60" t="s">
        <v>835</v>
      </c>
      <c r="U187" s="60">
        <v>240</v>
      </c>
      <c r="V187" s="60" t="s">
        <v>841</v>
      </c>
      <c r="W187" s="60" t="s">
        <v>200</v>
      </c>
      <c r="X187" s="60">
        <v>2</v>
      </c>
      <c r="Y187" s="60">
        <f>U187*挂机玩法规划!$O$4*VLOOKUP(E187,挂机玩法规划!$G$2:$I$17,3,FALSE)</f>
        <v>960</v>
      </c>
      <c r="Z187" s="17">
        <f t="shared" si="296"/>
        <v>1.2</v>
      </c>
      <c r="AA187" s="17">
        <f t="shared" si="297"/>
        <v>576</v>
      </c>
      <c r="AB187" s="17">
        <f>(VLOOKUP(V187,物品id!A:E,5,FALSE)*挂机玩法填表!Z187+VLOOKUP(挂机玩法填表!W187,物品id!A:E,5,FALSE)*挂机玩法填表!AA187)/(U187/60)</f>
        <v>33.167999999999999</v>
      </c>
      <c r="AD187" s="60" t="str">
        <f>IF(G187="","",VLOOKUP(G187,物品id!$A:$B,2,FALSE)&amp;",")</f>
        <v>1311,</v>
      </c>
      <c r="AE187" s="60" t="str">
        <f>IF(H187="","",VLOOKUP(H187,物品id!$A:$B,2,FALSE)&amp;",")</f>
        <v>2311,</v>
      </c>
      <c r="AF187" s="60" t="str">
        <f>IF(I187="","",VLOOKUP(I187,物品id!$A:$B,2,FALSE)&amp;",")</f>
        <v>3311,</v>
      </c>
      <c r="AG187" s="60" t="str">
        <f t="shared" si="367"/>
        <v>1311,2311,3311,</v>
      </c>
      <c r="AH187" s="60" t="str">
        <f t="shared" si="368"/>
        <v>[1311,2311,3311]</v>
      </c>
      <c r="AI187" s="17" t="str">
        <f t="shared" si="364"/>
        <v>4,</v>
      </c>
      <c r="AJ187" s="17" t="str">
        <f t="shared" si="365"/>
        <v>4,</v>
      </c>
      <c r="AK187" s="17" t="str">
        <f t="shared" si="366"/>
        <v>4,</v>
      </c>
      <c r="AL187" s="60" t="str">
        <f t="shared" si="369"/>
        <v>4,4,4,</v>
      </c>
      <c r="AM187" s="60" t="str">
        <f t="shared" si="370"/>
        <v>[4,4,4]</v>
      </c>
      <c r="AN187" s="60" t="str">
        <f>VLOOKUP(T187,物品id!$A:$B,2,FALSE)&amp;","</f>
        <v>102,</v>
      </c>
      <c r="AO187" s="17" t="str">
        <f t="shared" si="298"/>
        <v>[102]</v>
      </c>
      <c r="AP187" s="60" t="str">
        <f t="shared" si="293"/>
        <v>240,</v>
      </c>
      <c r="AQ187" s="17" t="str">
        <f t="shared" si="299"/>
        <v>[240]</v>
      </c>
      <c r="AR187" s="60" t="str">
        <f>IF(V187="","",VLOOKUP(V187,物品id!$A:$B,2,FALSE)&amp;",")</f>
        <v>20037,</v>
      </c>
      <c r="AS187" s="60" t="str">
        <f>IF(W187="","",VLOOKUP(W187,物品id!$A:$B,2,FALSE)&amp;",")</f>
        <v>102,</v>
      </c>
      <c r="AT187" s="60" t="str">
        <f t="shared" si="371"/>
        <v>20037,102,</v>
      </c>
      <c r="AU187" s="60" t="str">
        <f t="shared" si="372"/>
        <v>[20037,102]</v>
      </c>
      <c r="AV187" s="60" t="str">
        <f t="shared" si="294"/>
        <v>2,</v>
      </c>
      <c r="AW187" s="60" t="str">
        <f t="shared" si="295"/>
        <v>960,</v>
      </c>
      <c r="AX187" s="60" t="str">
        <f t="shared" si="373"/>
        <v>2,960,</v>
      </c>
      <c r="AY187" s="60" t="str">
        <f t="shared" si="374"/>
        <v>[2,960]</v>
      </c>
    </row>
    <row r="188" spans="1:51" s="60" customFormat="1" x14ac:dyDescent="0.2">
      <c r="A188" s="60">
        <v>3</v>
      </c>
      <c r="B188" s="60" t="s">
        <v>1132</v>
      </c>
      <c r="C188" s="60">
        <v>56</v>
      </c>
      <c r="D188" s="34" t="s">
        <v>1161</v>
      </c>
      <c r="E188" s="60" t="s">
        <v>1016</v>
      </c>
      <c r="F188" s="60">
        <v>3</v>
      </c>
      <c r="G188" s="60" t="s">
        <v>806</v>
      </c>
      <c r="H188" s="60" t="s">
        <v>817</v>
      </c>
      <c r="I188" s="60" t="s">
        <v>827</v>
      </c>
      <c r="J188" s="17">
        <v>0.6</v>
      </c>
      <c r="K188" s="17">
        <v>0.6</v>
      </c>
      <c r="L188" s="17">
        <v>0.6</v>
      </c>
      <c r="M188" s="35">
        <f>(IF(G188="",挂机玩法规划!$L$2,VLOOKUP(G188,物品id!A:D,4,FALSE)*IF(J188=0,1,4))*IF(J188=0,1,J188)+IF(H188="",挂机玩法规划!$L$2,VLOOKUP(H188,物品id!A:D,4,FALSE)*IF(K188=0,1,4))*IF(K188=0,1,K188)+IF(I188="",挂机玩法规划!$L$2,VLOOKUP(I188,物品id!A:D,4,FALSE)*IF(L188=0,1,4))*IF(L188=0,1,L188))/O188</f>
        <v>0.6</v>
      </c>
      <c r="N188" s="44">
        <f>IF(G188="",挂机玩法规划!$L$2,VLOOKUP(G188,物品id!A:D,4,FALSE)*4)+IF(H188="",挂机玩法规划!$L$2,VLOOKUP(H188,物品id!A:D,4,FALSE)*4)+IF(I188="",挂机玩法规划!$L$2,VLOOKUP(I188,物品id!A:D,4,FALSE)*4)</f>
        <v>360</v>
      </c>
      <c r="O188" s="61">
        <v>360</v>
      </c>
      <c r="P188" s="60">
        <v>4</v>
      </c>
      <c r="Q188" s="60">
        <v>4</v>
      </c>
      <c r="R188" s="60">
        <v>4</v>
      </c>
      <c r="S188" s="60">
        <v>480</v>
      </c>
      <c r="T188" s="60" t="s">
        <v>835</v>
      </c>
      <c r="U188" s="60">
        <v>480</v>
      </c>
      <c r="V188" s="60" t="s">
        <v>841</v>
      </c>
      <c r="W188" s="60" t="s">
        <v>200</v>
      </c>
      <c r="X188" s="60">
        <v>3</v>
      </c>
      <c r="Y188" s="60">
        <f>U188*挂机玩法规划!$O$4*VLOOKUP(E188,挂机玩法规划!$G$2:$I$17,3,FALSE)</f>
        <v>1920</v>
      </c>
      <c r="Z188" s="17">
        <f t="shared" si="296"/>
        <v>1.7999999999999998</v>
      </c>
      <c r="AA188" s="17">
        <f t="shared" si="297"/>
        <v>1152</v>
      </c>
      <c r="AB188" s="17">
        <f>(VLOOKUP(V188,物品id!A:E,5,FALSE)*挂机玩法填表!Z188+VLOOKUP(挂机玩法填表!W188,物品id!A:E,5,FALSE)*挂机玩法填表!AA188)/(U188/60)</f>
        <v>25.667999999999996</v>
      </c>
      <c r="AD188" s="60" t="str">
        <f>IF(G188="","",VLOOKUP(G188,物品id!$A:$B,2,FALSE)&amp;",")</f>
        <v>1311,</v>
      </c>
      <c r="AE188" s="60" t="str">
        <f>IF(H188="","",VLOOKUP(H188,物品id!$A:$B,2,FALSE)&amp;",")</f>
        <v>2311,</v>
      </c>
      <c r="AF188" s="60" t="str">
        <f>IF(I188="","",VLOOKUP(I188,物品id!$A:$B,2,FALSE)&amp;",")</f>
        <v>3311,</v>
      </c>
      <c r="AG188" s="60" t="str">
        <f t="shared" si="367"/>
        <v>1311,2311,3311,</v>
      </c>
      <c r="AH188" s="60" t="str">
        <f t="shared" si="368"/>
        <v>[1311,2311,3311]</v>
      </c>
      <c r="AI188" s="17" t="str">
        <f t="shared" si="364"/>
        <v>4,</v>
      </c>
      <c r="AJ188" s="17" t="str">
        <f t="shared" si="365"/>
        <v>4,</v>
      </c>
      <c r="AK188" s="17" t="str">
        <f t="shared" si="366"/>
        <v>4,</v>
      </c>
      <c r="AL188" s="60" t="str">
        <f t="shared" si="369"/>
        <v>4,4,4,</v>
      </c>
      <c r="AM188" s="60" t="str">
        <f t="shared" si="370"/>
        <v>[4,4,4]</v>
      </c>
      <c r="AN188" s="60" t="str">
        <f>VLOOKUP(T188,物品id!$A:$B,2,FALSE)&amp;","</f>
        <v>102,</v>
      </c>
      <c r="AO188" s="17" t="str">
        <f t="shared" si="298"/>
        <v>[102]</v>
      </c>
      <c r="AP188" s="60" t="str">
        <f t="shared" si="293"/>
        <v>480,</v>
      </c>
      <c r="AQ188" s="17" t="str">
        <f t="shared" si="299"/>
        <v>[480]</v>
      </c>
      <c r="AR188" s="60" t="str">
        <f>IF(V188="","",VLOOKUP(V188,物品id!$A:$B,2,FALSE)&amp;",")</f>
        <v>20037,</v>
      </c>
      <c r="AS188" s="60" t="str">
        <f>IF(W188="","",VLOOKUP(W188,物品id!$A:$B,2,FALSE)&amp;",")</f>
        <v>102,</v>
      </c>
      <c r="AT188" s="60" t="str">
        <f t="shared" si="371"/>
        <v>20037,102,</v>
      </c>
      <c r="AU188" s="60" t="str">
        <f t="shared" si="372"/>
        <v>[20037,102]</v>
      </c>
      <c r="AV188" s="60" t="str">
        <f t="shared" si="294"/>
        <v>3,</v>
      </c>
      <c r="AW188" s="60" t="str">
        <f t="shared" si="295"/>
        <v>1920,</v>
      </c>
      <c r="AX188" s="60" t="str">
        <f t="shared" si="373"/>
        <v>3,1920,</v>
      </c>
      <c r="AY188" s="60" t="str">
        <f t="shared" si="374"/>
        <v>[3,1920]</v>
      </c>
    </row>
    <row r="189" spans="1:51" s="60" customFormat="1" x14ac:dyDescent="0.2">
      <c r="A189" s="60">
        <v>4</v>
      </c>
      <c r="B189" s="60" t="s">
        <v>1132</v>
      </c>
      <c r="C189" s="60">
        <v>56</v>
      </c>
      <c r="D189" s="34" t="s">
        <v>1161</v>
      </c>
      <c r="E189" s="60" t="s">
        <v>141</v>
      </c>
      <c r="F189" s="60">
        <v>3</v>
      </c>
      <c r="G189" s="60" t="s">
        <v>806</v>
      </c>
      <c r="H189" s="60" t="s">
        <v>817</v>
      </c>
      <c r="I189" s="60" t="s">
        <v>827</v>
      </c>
      <c r="J189" s="17">
        <v>0.6</v>
      </c>
      <c r="K189" s="17">
        <v>0.6</v>
      </c>
      <c r="L189" s="17">
        <v>0.6</v>
      </c>
      <c r="M189" s="35">
        <f>(IF(G189="",挂机玩法规划!$L$2,VLOOKUP(G189,物品id!A:D,4,FALSE)*IF(J189=0,1,4))*IF(J189=0,1,J189)+IF(H189="",挂机玩法规划!$L$2,VLOOKUP(H189,物品id!A:D,4,FALSE)*IF(K189=0,1,4))*IF(K189=0,1,K189)+IF(I189="",挂机玩法规划!$L$2,VLOOKUP(I189,物品id!A:D,4,FALSE)*IF(L189=0,1,4))*IF(L189=0,1,L189))/O189</f>
        <v>0.6</v>
      </c>
      <c r="N189" s="44">
        <f>IF(G189="",挂机玩法规划!$L$2,VLOOKUP(G189,物品id!A:D,4,FALSE)*4)+IF(H189="",挂机玩法规划!$L$2,VLOOKUP(H189,物品id!A:D,4,FALSE)*4)+IF(I189="",挂机玩法规划!$L$2,VLOOKUP(I189,物品id!A:D,4,FALSE)*4)</f>
        <v>360</v>
      </c>
      <c r="O189" s="61">
        <v>360</v>
      </c>
      <c r="P189" s="60">
        <v>4</v>
      </c>
      <c r="Q189" s="60">
        <v>4</v>
      </c>
      <c r="R189" s="60">
        <v>4</v>
      </c>
      <c r="S189" s="60">
        <v>720</v>
      </c>
      <c r="T189" s="60" t="s">
        <v>835</v>
      </c>
      <c r="U189" s="60">
        <v>720</v>
      </c>
      <c r="V189" s="60" t="s">
        <v>837</v>
      </c>
      <c r="W189" s="60" t="s">
        <v>200</v>
      </c>
      <c r="X189" s="60">
        <v>4</v>
      </c>
      <c r="Y189" s="60">
        <f>U189*挂机玩法规划!$O$4*VLOOKUP(E189,挂机玩法规划!$G$2:$I$17,3,FALSE)</f>
        <v>2880</v>
      </c>
      <c r="Z189" s="17">
        <f t="shared" si="296"/>
        <v>2.4</v>
      </c>
      <c r="AA189" s="17">
        <f t="shared" si="297"/>
        <v>1728</v>
      </c>
      <c r="AB189" s="17">
        <f>(VLOOKUP(V189,物品id!A:E,5,FALSE)*挂机玩法填表!Z189+VLOOKUP(挂机玩法填表!W189,物品id!A:E,5,FALSE)*挂机玩法填表!AA189)/(U189/60)</f>
        <v>27.168000000000003</v>
      </c>
      <c r="AD189" s="60" t="str">
        <f>IF(G189="","",VLOOKUP(G189,物品id!$A:$B,2,FALSE)&amp;",")</f>
        <v>1311,</v>
      </c>
      <c r="AE189" s="60" t="str">
        <f>IF(H189="","",VLOOKUP(H189,物品id!$A:$B,2,FALSE)&amp;",")</f>
        <v>2311,</v>
      </c>
      <c r="AF189" s="60" t="str">
        <f>IF(I189="","",VLOOKUP(I189,物品id!$A:$B,2,FALSE)&amp;",")</f>
        <v>3311,</v>
      </c>
      <c r="AG189" s="60" t="str">
        <f>AD189&amp;AE189&amp;AF189</f>
        <v>1311,2311,3311,</v>
      </c>
      <c r="AH189" s="60" t="str">
        <f>"["&amp;LEFT(AG189,LEN(AG189)-1)&amp;"]"</f>
        <v>[1311,2311,3311]</v>
      </c>
      <c r="AI189" s="17" t="str">
        <f t="shared" si="364"/>
        <v>4,</v>
      </c>
      <c r="AJ189" s="17" t="str">
        <f t="shared" si="365"/>
        <v>4,</v>
      </c>
      <c r="AK189" s="17" t="str">
        <f t="shared" si="366"/>
        <v>4,</v>
      </c>
      <c r="AL189" s="60" t="str">
        <f>AI189&amp;AJ189&amp;AK189</f>
        <v>4,4,4,</v>
      </c>
      <c r="AM189" s="60" t="str">
        <f>"["&amp;LEFT(AL189,LEN(AL189)-1)&amp;"]"</f>
        <v>[4,4,4]</v>
      </c>
      <c r="AN189" s="60" t="str">
        <f>VLOOKUP(T189,物品id!$A:$B,2,FALSE)&amp;","</f>
        <v>102,</v>
      </c>
      <c r="AO189" s="17" t="str">
        <f t="shared" si="298"/>
        <v>[102]</v>
      </c>
      <c r="AP189" s="60" t="str">
        <f t="shared" si="293"/>
        <v>720,</v>
      </c>
      <c r="AQ189" s="17" t="str">
        <f t="shared" si="299"/>
        <v>[720]</v>
      </c>
      <c r="AR189" s="60" t="str">
        <f>IF(V189="","",VLOOKUP(V189,物品id!$A:$B,2,FALSE)&amp;",")</f>
        <v>20033,</v>
      </c>
      <c r="AS189" s="60" t="str">
        <f>IF(W189="","",VLOOKUP(W189,物品id!$A:$B,2,FALSE)&amp;",")</f>
        <v>102,</v>
      </c>
      <c r="AT189" s="60" t="str">
        <f>AR189&amp;AS189</f>
        <v>20033,102,</v>
      </c>
      <c r="AU189" s="60" t="str">
        <f>"["&amp;LEFT(AT189,LEN(AT189)-1)&amp;"]"</f>
        <v>[20033,102]</v>
      </c>
      <c r="AV189" s="60" t="str">
        <f t="shared" si="294"/>
        <v>4,</v>
      </c>
      <c r="AW189" s="60" t="str">
        <f t="shared" si="295"/>
        <v>2880,</v>
      </c>
      <c r="AX189" s="60" t="str">
        <f>AV189&amp;AW189</f>
        <v>4,2880,</v>
      </c>
      <c r="AY189" s="60" t="str">
        <f>"["&amp;LEFT(AX189,LEN(AX189)-1)&amp;"]"</f>
        <v>[4,2880]</v>
      </c>
    </row>
    <row r="190" spans="1:51" s="60" customFormat="1" x14ac:dyDescent="0.2">
      <c r="A190" s="60">
        <v>5</v>
      </c>
      <c r="B190" s="60" t="s">
        <v>1132</v>
      </c>
      <c r="C190" s="60">
        <v>57</v>
      </c>
      <c r="D190" s="34" t="s">
        <v>1162</v>
      </c>
      <c r="E190" s="60" t="s">
        <v>1017</v>
      </c>
      <c r="F190" s="60">
        <v>3</v>
      </c>
      <c r="G190" s="60" t="s">
        <v>806</v>
      </c>
      <c r="H190" s="60" t="s">
        <v>807</v>
      </c>
      <c r="J190" s="17">
        <v>0.6</v>
      </c>
      <c r="K190" s="17">
        <v>0</v>
      </c>
      <c r="L190" s="17">
        <v>1</v>
      </c>
      <c r="M190" s="35">
        <f>(IF(G190="",挂机玩法规划!$L$2,VLOOKUP(G190,物品id!A:D,4,FALSE)*IF(J190=0,1,4))*IF(J190=0,1,J190)+IF(H190="",挂机玩法规划!$L$2,VLOOKUP(H190,物品id!A:D,4,FALSE)*IF(K190=0,1,4))*IF(K190=0,1,K190)+IF(I190="",挂机玩法规划!$L$2,VLOOKUP(I190,物品id!A:D,4,FALSE)*IF(L190=0,1,4))*IF(L190=0,1,L190))/O190</f>
        <v>0.44800000000000001</v>
      </c>
      <c r="N190" s="44">
        <f>IF(G190="",挂机玩法规划!$L$2,VLOOKUP(G190,物品id!A:D,4,FALSE)*4)+IF(H190="",挂机玩法规划!$L$2,VLOOKUP(H190,物品id!A:D,4,FALSE)*4)+IF(I190="",挂机玩法规划!$L$2,VLOOKUP(I190,物品id!A:D,4,FALSE)*4)</f>
        <v>250</v>
      </c>
      <c r="O190" s="61">
        <v>250</v>
      </c>
      <c r="P190" s="60">
        <v>4</v>
      </c>
      <c r="Q190" s="60">
        <v>4</v>
      </c>
      <c r="R190" s="60" t="s">
        <v>1131</v>
      </c>
      <c r="S190" s="60">
        <v>120</v>
      </c>
      <c r="T190" s="60" t="s">
        <v>835</v>
      </c>
      <c r="U190" s="60">
        <v>120</v>
      </c>
      <c r="V190" s="60" t="s">
        <v>1047</v>
      </c>
      <c r="W190" s="60" t="s">
        <v>200</v>
      </c>
      <c r="X190" s="60">
        <v>1</v>
      </c>
      <c r="Y190" s="60">
        <f>U190*挂机玩法规划!$O$4*VLOOKUP(E190,挂机玩法规划!$G$2:$I$17,3,FALSE)</f>
        <v>720</v>
      </c>
      <c r="Z190" s="17">
        <f t="shared" si="296"/>
        <v>0.44800000000000001</v>
      </c>
      <c r="AA190" s="17">
        <f t="shared" si="297"/>
        <v>322.56</v>
      </c>
      <c r="AB190" s="17">
        <f>(VLOOKUP(V190,物品id!A:E,5,FALSE)*挂机玩法填表!Z190+VLOOKUP(挂机玩法填表!W190,物品id!A:E,5,FALSE)*挂机玩法填表!AA190)/(U190/60)</f>
        <v>30.428159999999998</v>
      </c>
      <c r="AD190" s="60" t="str">
        <f>IF(G190="","",VLOOKUP(G190,物品id!$A:$B,2,FALSE)&amp;",")</f>
        <v>1311,</v>
      </c>
      <c r="AE190" s="60" t="str">
        <f>IF(H190="","",VLOOKUP(H190,物品id!$A:$B,2,FALSE)&amp;",")</f>
        <v>1321,</v>
      </c>
      <c r="AF190" s="60" t="str">
        <f>IF(I190="","",VLOOKUP(I190,物品id!$A:$B,2,FALSE)&amp;",")</f>
        <v/>
      </c>
      <c r="AG190" s="60" t="str">
        <f t="shared" ref="AG190:AG247" si="375">AD190&amp;AE190&amp;AF190</f>
        <v>1311,1321,</v>
      </c>
      <c r="AH190" s="60" t="str">
        <f t="shared" ref="AH190:AH247" si="376">"["&amp;LEFT(AG190,LEN(AG190)-1)&amp;"]"</f>
        <v>[1311,1321]</v>
      </c>
      <c r="AI190" s="17" t="str">
        <f t="shared" si="364"/>
        <v>4,</v>
      </c>
      <c r="AJ190" s="17" t="str">
        <f t="shared" si="365"/>
        <v>4,</v>
      </c>
      <c r="AK190" s="17" t="str">
        <f t="shared" si="366"/>
        <v/>
      </c>
      <c r="AL190" s="60" t="str">
        <f t="shared" ref="AL190:AL247" si="377">AI190&amp;AJ190&amp;AK190</f>
        <v>4,4,</v>
      </c>
      <c r="AM190" s="60" t="str">
        <f t="shared" ref="AM190:AM247" si="378">"["&amp;LEFT(AL190,LEN(AL190)-1)&amp;"]"</f>
        <v>[4,4]</v>
      </c>
      <c r="AN190" s="60" t="str">
        <f>VLOOKUP(T190,物品id!$A:$B,2,FALSE)&amp;","</f>
        <v>102,</v>
      </c>
      <c r="AO190" s="17" t="str">
        <f t="shared" si="298"/>
        <v>[102]</v>
      </c>
      <c r="AP190" s="60" t="str">
        <f t="shared" si="293"/>
        <v>120,</v>
      </c>
      <c r="AQ190" s="17" t="str">
        <f t="shared" si="299"/>
        <v>[120]</v>
      </c>
      <c r="AR190" s="60" t="str">
        <f>IF(V190="","",VLOOKUP(V190,物品id!$A:$B,2,FALSE)&amp;",")</f>
        <v>20033,</v>
      </c>
      <c r="AS190" s="60" t="str">
        <f>IF(W190="","",VLOOKUP(W190,物品id!$A:$B,2,FALSE)&amp;",")</f>
        <v>102,</v>
      </c>
      <c r="AT190" s="60" t="str">
        <f t="shared" ref="AT190:AT247" si="379">AR190&amp;AS190</f>
        <v>20033,102,</v>
      </c>
      <c r="AU190" s="60" t="str">
        <f t="shared" ref="AU190:AU247" si="380">"["&amp;LEFT(AT190,LEN(AT190)-1)&amp;"]"</f>
        <v>[20033,102]</v>
      </c>
      <c r="AV190" s="60" t="str">
        <f t="shared" si="294"/>
        <v>1,</v>
      </c>
      <c r="AW190" s="60" t="str">
        <f t="shared" si="295"/>
        <v>720,</v>
      </c>
      <c r="AX190" s="60" t="str">
        <f t="shared" ref="AX190:AX247" si="381">AV190&amp;AW190</f>
        <v>1,720,</v>
      </c>
      <c r="AY190" s="60" t="str">
        <f t="shared" ref="AY190:AY247" si="382">"["&amp;LEFT(AX190,LEN(AX190)-1)&amp;"]"</f>
        <v>[1,720]</v>
      </c>
    </row>
    <row r="191" spans="1:51" s="60" customFormat="1" x14ac:dyDescent="0.2">
      <c r="A191" s="60">
        <v>5</v>
      </c>
      <c r="B191" s="60" t="s">
        <v>1132</v>
      </c>
      <c r="C191" s="60">
        <v>57</v>
      </c>
      <c r="D191" s="34" t="s">
        <v>1162</v>
      </c>
      <c r="E191" s="60" t="s">
        <v>1017</v>
      </c>
      <c r="F191" s="60">
        <v>3</v>
      </c>
      <c r="G191" s="60" t="s">
        <v>817</v>
      </c>
      <c r="H191" s="60" t="s">
        <v>818</v>
      </c>
      <c r="J191" s="17">
        <v>0.6</v>
      </c>
      <c r="K191" s="17">
        <v>0</v>
      </c>
      <c r="L191" s="17">
        <v>1</v>
      </c>
      <c r="M191" s="35">
        <f>(IF(G191="",挂机玩法规划!$L$2,VLOOKUP(G191,物品id!A:D,4,FALSE)*IF(J191=0,1,4))*IF(J191=0,1,J191)+IF(H191="",挂机玩法规划!$L$2,VLOOKUP(H191,物品id!A:D,4,FALSE)*IF(K191=0,1,4))*IF(K191=0,1,K191)+IF(I191="",挂机玩法规划!$L$2,VLOOKUP(I191,物品id!A:D,4,FALSE)*IF(L191=0,1,4))*IF(L191=0,1,L191))/O191</f>
        <v>0.44800000000000001</v>
      </c>
      <c r="N191" s="44">
        <f>IF(G191="",挂机玩法规划!$L$2,VLOOKUP(G191,物品id!A:D,4,FALSE)*4)+IF(H191="",挂机玩法规划!$L$2,VLOOKUP(H191,物品id!A:D,4,FALSE)*4)+IF(I191="",挂机玩法规划!$L$2,VLOOKUP(I191,物品id!A:D,4,FALSE)*4)</f>
        <v>250</v>
      </c>
      <c r="O191" s="61">
        <v>250</v>
      </c>
      <c r="P191" s="60">
        <v>4</v>
      </c>
      <c r="Q191" s="60">
        <v>4</v>
      </c>
      <c r="R191" s="60" t="s">
        <v>1131</v>
      </c>
      <c r="S191" s="60">
        <v>120</v>
      </c>
      <c r="T191" s="60" t="s">
        <v>835</v>
      </c>
      <c r="U191" s="60">
        <v>120</v>
      </c>
      <c r="V191" s="60" t="s">
        <v>1047</v>
      </c>
      <c r="W191" s="60" t="s">
        <v>200</v>
      </c>
      <c r="X191" s="60">
        <v>1</v>
      </c>
      <c r="Y191" s="60">
        <f>U191*挂机玩法规划!$O$4*VLOOKUP(E191,挂机玩法规划!$G$2:$I$17,3,FALSE)</f>
        <v>720</v>
      </c>
      <c r="Z191" s="17">
        <f t="shared" si="296"/>
        <v>0.44800000000000001</v>
      </c>
      <c r="AA191" s="17">
        <f t="shared" si="297"/>
        <v>322.56</v>
      </c>
      <c r="AB191" s="17">
        <f>(VLOOKUP(V191,物品id!A:E,5,FALSE)*挂机玩法填表!Z191+VLOOKUP(挂机玩法填表!W191,物品id!A:E,5,FALSE)*挂机玩法填表!AA191)/(U191/60)</f>
        <v>30.428159999999998</v>
      </c>
      <c r="AD191" s="60" t="str">
        <f>IF(G191="","",VLOOKUP(G191,物品id!$A:$B,2,FALSE)&amp;",")</f>
        <v>2311,</v>
      </c>
      <c r="AE191" s="60" t="str">
        <f>IF(H191="","",VLOOKUP(H191,物品id!$A:$B,2,FALSE)&amp;",")</f>
        <v>2321,</v>
      </c>
      <c r="AF191" s="60" t="str">
        <f>IF(I191="","",VLOOKUP(I191,物品id!$A:$B,2,FALSE)&amp;",")</f>
        <v/>
      </c>
      <c r="AG191" s="60" t="str">
        <f t="shared" si="375"/>
        <v>2311,2321,</v>
      </c>
      <c r="AH191" s="60" t="str">
        <f t="shared" si="376"/>
        <v>[2311,2321]</v>
      </c>
      <c r="AI191" s="17" t="str">
        <f t="shared" si="364"/>
        <v>4,</v>
      </c>
      <c r="AJ191" s="17" t="str">
        <f t="shared" si="365"/>
        <v>4,</v>
      </c>
      <c r="AK191" s="17" t="str">
        <f t="shared" si="366"/>
        <v/>
      </c>
      <c r="AL191" s="60" t="str">
        <f t="shared" si="377"/>
        <v>4,4,</v>
      </c>
      <c r="AM191" s="60" t="str">
        <f t="shared" si="378"/>
        <v>[4,4]</v>
      </c>
      <c r="AN191" s="60" t="str">
        <f>VLOOKUP(T191,物品id!$A:$B,2,FALSE)&amp;","</f>
        <v>102,</v>
      </c>
      <c r="AO191" s="17" t="str">
        <f t="shared" si="298"/>
        <v>[102]</v>
      </c>
      <c r="AP191" s="60" t="str">
        <f t="shared" si="293"/>
        <v>120,</v>
      </c>
      <c r="AQ191" s="17" t="str">
        <f t="shared" si="299"/>
        <v>[120]</v>
      </c>
      <c r="AR191" s="60" t="str">
        <f>IF(V191="","",VLOOKUP(V191,物品id!$A:$B,2,FALSE)&amp;",")</f>
        <v>20033,</v>
      </c>
      <c r="AS191" s="60" t="str">
        <f>IF(W191="","",VLOOKUP(W191,物品id!$A:$B,2,FALSE)&amp;",")</f>
        <v>102,</v>
      </c>
      <c r="AT191" s="60" t="str">
        <f t="shared" si="379"/>
        <v>20033,102,</v>
      </c>
      <c r="AU191" s="60" t="str">
        <f t="shared" si="380"/>
        <v>[20033,102]</v>
      </c>
      <c r="AV191" s="60" t="str">
        <f t="shared" si="294"/>
        <v>1,</v>
      </c>
      <c r="AW191" s="60" t="str">
        <f t="shared" si="295"/>
        <v>720,</v>
      </c>
      <c r="AX191" s="60" t="str">
        <f t="shared" si="381"/>
        <v>1,720,</v>
      </c>
      <c r="AY191" s="60" t="str">
        <f t="shared" si="382"/>
        <v>[1,720]</v>
      </c>
    </row>
    <row r="192" spans="1:51" s="60" customFormat="1" x14ac:dyDescent="0.2">
      <c r="A192" s="60">
        <v>5</v>
      </c>
      <c r="B192" s="60" t="s">
        <v>1132</v>
      </c>
      <c r="C192" s="60">
        <v>57</v>
      </c>
      <c r="D192" s="34" t="s">
        <v>1162</v>
      </c>
      <c r="E192" s="60" t="s">
        <v>1017</v>
      </c>
      <c r="F192" s="60">
        <v>3</v>
      </c>
      <c r="G192" s="60" t="s">
        <v>827</v>
      </c>
      <c r="H192" s="60" t="s">
        <v>828</v>
      </c>
      <c r="J192" s="17">
        <v>0.6</v>
      </c>
      <c r="K192" s="17">
        <v>0</v>
      </c>
      <c r="L192" s="17">
        <v>1</v>
      </c>
      <c r="M192" s="35">
        <f>(IF(G192="",挂机玩法规划!$L$2,VLOOKUP(G192,物品id!A:D,4,FALSE)*IF(J192=0,1,4))*IF(J192=0,1,J192)+IF(H192="",挂机玩法规划!$L$2,VLOOKUP(H192,物品id!A:D,4,FALSE)*IF(K192=0,1,4))*IF(K192=0,1,K192)+IF(I192="",挂机玩法规划!$L$2,VLOOKUP(I192,物品id!A:D,4,FALSE)*IF(L192=0,1,4))*IF(L192=0,1,L192))/O192</f>
        <v>0.44800000000000001</v>
      </c>
      <c r="N192" s="44">
        <f>IF(G192="",挂机玩法规划!$L$2,VLOOKUP(G192,物品id!A:D,4,FALSE)*4)+IF(H192="",挂机玩法规划!$L$2,VLOOKUP(H192,物品id!A:D,4,FALSE)*4)+IF(I192="",挂机玩法规划!$L$2,VLOOKUP(I192,物品id!A:D,4,FALSE)*4)</f>
        <v>250</v>
      </c>
      <c r="O192" s="61">
        <v>250</v>
      </c>
      <c r="P192" s="60">
        <v>4</v>
      </c>
      <c r="Q192" s="60">
        <v>4</v>
      </c>
      <c r="R192" s="60" t="s">
        <v>1131</v>
      </c>
      <c r="S192" s="60">
        <v>120</v>
      </c>
      <c r="T192" s="60" t="s">
        <v>835</v>
      </c>
      <c r="U192" s="60">
        <v>120</v>
      </c>
      <c r="V192" s="60" t="s">
        <v>1047</v>
      </c>
      <c r="W192" s="60" t="s">
        <v>200</v>
      </c>
      <c r="X192" s="60">
        <v>1</v>
      </c>
      <c r="Y192" s="60">
        <f>U192*挂机玩法规划!$O$4*VLOOKUP(E192,挂机玩法规划!$G$2:$I$17,3,FALSE)</f>
        <v>720</v>
      </c>
      <c r="Z192" s="17">
        <f t="shared" si="296"/>
        <v>0.44800000000000001</v>
      </c>
      <c r="AA192" s="17">
        <f t="shared" si="297"/>
        <v>322.56</v>
      </c>
      <c r="AB192" s="17">
        <f>(VLOOKUP(V192,物品id!A:E,5,FALSE)*挂机玩法填表!Z192+VLOOKUP(挂机玩法填表!W192,物品id!A:E,5,FALSE)*挂机玩法填表!AA192)/(U192/60)</f>
        <v>30.428159999999998</v>
      </c>
      <c r="AD192" s="60" t="str">
        <f>IF(G192="","",VLOOKUP(G192,物品id!$A:$B,2,FALSE)&amp;",")</f>
        <v>3311,</v>
      </c>
      <c r="AE192" s="60" t="str">
        <f>IF(H192="","",VLOOKUP(H192,物品id!$A:$B,2,FALSE)&amp;",")</f>
        <v>3321,</v>
      </c>
      <c r="AF192" s="60" t="str">
        <f>IF(I192="","",VLOOKUP(I192,物品id!$A:$B,2,FALSE)&amp;",")</f>
        <v/>
      </c>
      <c r="AG192" s="60" t="str">
        <f t="shared" si="375"/>
        <v>3311,3321,</v>
      </c>
      <c r="AH192" s="60" t="str">
        <f t="shared" si="376"/>
        <v>[3311,3321]</v>
      </c>
      <c r="AI192" s="17" t="str">
        <f t="shared" si="364"/>
        <v>4,</v>
      </c>
      <c r="AJ192" s="17" t="str">
        <f t="shared" si="365"/>
        <v>4,</v>
      </c>
      <c r="AK192" s="17" t="str">
        <f t="shared" si="366"/>
        <v/>
      </c>
      <c r="AL192" s="60" t="str">
        <f t="shared" si="377"/>
        <v>4,4,</v>
      </c>
      <c r="AM192" s="60" t="str">
        <f t="shared" si="378"/>
        <v>[4,4]</v>
      </c>
      <c r="AN192" s="60" t="str">
        <f>VLOOKUP(T192,物品id!$A:$B,2,FALSE)&amp;","</f>
        <v>102,</v>
      </c>
      <c r="AO192" s="17" t="str">
        <f t="shared" si="298"/>
        <v>[102]</v>
      </c>
      <c r="AP192" s="60" t="str">
        <f t="shared" si="293"/>
        <v>120,</v>
      </c>
      <c r="AQ192" s="17" t="str">
        <f t="shared" si="299"/>
        <v>[120]</v>
      </c>
      <c r="AR192" s="60" t="str">
        <f>IF(V192="","",VLOOKUP(V192,物品id!$A:$B,2,FALSE)&amp;",")</f>
        <v>20033,</v>
      </c>
      <c r="AS192" s="60" t="str">
        <f>IF(W192="","",VLOOKUP(W192,物品id!$A:$B,2,FALSE)&amp;",")</f>
        <v>102,</v>
      </c>
      <c r="AT192" s="60" t="str">
        <f t="shared" si="379"/>
        <v>20033,102,</v>
      </c>
      <c r="AU192" s="60" t="str">
        <f t="shared" si="380"/>
        <v>[20033,102]</v>
      </c>
      <c r="AV192" s="60" t="str">
        <f t="shared" si="294"/>
        <v>1,</v>
      </c>
      <c r="AW192" s="60" t="str">
        <f t="shared" si="295"/>
        <v>720,</v>
      </c>
      <c r="AX192" s="60" t="str">
        <f t="shared" si="381"/>
        <v>1,720,</v>
      </c>
      <c r="AY192" s="60" t="str">
        <f t="shared" si="382"/>
        <v>[1,720]</v>
      </c>
    </row>
    <row r="193" spans="1:51" s="60" customFormat="1" x14ac:dyDescent="0.2">
      <c r="A193" s="60">
        <v>5</v>
      </c>
      <c r="B193" s="60" t="s">
        <v>1132</v>
      </c>
      <c r="C193" s="60">
        <v>58</v>
      </c>
      <c r="D193" s="34" t="s">
        <v>1163</v>
      </c>
      <c r="E193" s="60" t="s">
        <v>1017</v>
      </c>
      <c r="F193" s="60">
        <v>3</v>
      </c>
      <c r="G193" s="60" t="s">
        <v>804</v>
      </c>
      <c r="H193" s="60" t="s">
        <v>806</v>
      </c>
      <c r="I193" s="60" t="s">
        <v>807</v>
      </c>
      <c r="J193" s="17">
        <v>1</v>
      </c>
      <c r="K193" s="17">
        <v>0.8</v>
      </c>
      <c r="L193" s="17">
        <v>0</v>
      </c>
      <c r="M193" s="35">
        <f>(IF(G193="",挂机玩法规划!$L$2,VLOOKUP(G193,物品id!A:D,4,FALSE)*IF(J193=0,1,4))*IF(J193=0,1,J193)+IF(H193="",挂机玩法规划!$L$2,VLOOKUP(H193,物品id!A:D,4,FALSE)*IF(K193=0,1,4))*IF(K193=0,1,K193)+IF(I193="",挂机玩法规划!$L$2,VLOOKUP(I193,物品id!A:D,4,FALSE)*IF(L193=0,1,4))*IF(L193=0,1,L193))/O193</f>
        <v>0.64375000000000004</v>
      </c>
      <c r="N193" s="44">
        <f>IF(G193="",挂机玩法规划!$L$2,VLOOKUP(G193,物品id!A:D,4,FALSE)*4)+IF(H193="",挂机玩法规划!$L$2,VLOOKUP(H193,物品id!A:D,4,FALSE)*4)+IF(I193="",挂机玩法规划!$L$2,VLOOKUP(I193,物品id!A:D,4,FALSE)*4)</f>
        <v>320</v>
      </c>
      <c r="O193" s="61">
        <v>320</v>
      </c>
      <c r="P193" s="60">
        <v>4</v>
      </c>
      <c r="Q193" s="60">
        <v>4</v>
      </c>
      <c r="R193" s="60">
        <v>4</v>
      </c>
      <c r="S193" s="60">
        <v>240</v>
      </c>
      <c r="T193" s="60" t="s">
        <v>835</v>
      </c>
      <c r="U193" s="60">
        <v>240</v>
      </c>
      <c r="V193" s="60" t="s">
        <v>837</v>
      </c>
      <c r="W193" s="60" t="s">
        <v>200</v>
      </c>
      <c r="X193" s="60">
        <v>2</v>
      </c>
      <c r="Y193" s="60">
        <f>U193*挂机玩法规划!$O$4*VLOOKUP(E193,挂机玩法规划!$G$2:$I$17,3,FALSE)</f>
        <v>1440</v>
      </c>
      <c r="Z193" s="17">
        <f t="shared" si="296"/>
        <v>1.2875000000000001</v>
      </c>
      <c r="AA193" s="17">
        <f t="shared" si="297"/>
        <v>927.00000000000011</v>
      </c>
      <c r="AB193" s="17">
        <f>(VLOOKUP(V193,物品id!A:E,5,FALSE)*挂机玩法填表!Z193+VLOOKUP(挂机玩法填表!W193,物品id!A:E,5,FALSE)*挂机玩法填表!AA193)/(U193/60)</f>
        <v>43.723500000000001</v>
      </c>
      <c r="AD193" s="60" t="str">
        <f>IF(G193="","",VLOOKUP(G193,物品id!$A:$B,2,FALSE)&amp;",")</f>
        <v>1211,</v>
      </c>
      <c r="AE193" s="60" t="str">
        <f>IF(H193="","",VLOOKUP(H193,物品id!$A:$B,2,FALSE)&amp;",")</f>
        <v>1311,</v>
      </c>
      <c r="AF193" s="60" t="str">
        <f>IF(I193="","",VLOOKUP(I193,物品id!$A:$B,2,FALSE)&amp;",")</f>
        <v>1321,</v>
      </c>
      <c r="AG193" s="60" t="str">
        <f t="shared" si="375"/>
        <v>1211,1311,1321,</v>
      </c>
      <c r="AH193" s="60" t="str">
        <f t="shared" si="376"/>
        <v>[1211,1311,1321]</v>
      </c>
      <c r="AI193" s="17" t="str">
        <f t="shared" si="364"/>
        <v>4,</v>
      </c>
      <c r="AJ193" s="17" t="str">
        <f t="shared" si="365"/>
        <v>4,</v>
      </c>
      <c r="AK193" s="17" t="str">
        <f t="shared" si="366"/>
        <v>4,</v>
      </c>
      <c r="AL193" s="60" t="str">
        <f t="shared" si="377"/>
        <v>4,4,4,</v>
      </c>
      <c r="AM193" s="60" t="str">
        <f t="shared" si="378"/>
        <v>[4,4,4]</v>
      </c>
      <c r="AN193" s="60" t="str">
        <f>VLOOKUP(T193,物品id!$A:$B,2,FALSE)&amp;","</f>
        <v>102,</v>
      </c>
      <c r="AO193" s="17" t="str">
        <f t="shared" si="298"/>
        <v>[102]</v>
      </c>
      <c r="AP193" s="60" t="str">
        <f t="shared" si="293"/>
        <v>240,</v>
      </c>
      <c r="AQ193" s="17" t="str">
        <f t="shared" si="299"/>
        <v>[240]</v>
      </c>
      <c r="AR193" s="60" t="str">
        <f>IF(V193="","",VLOOKUP(V193,物品id!$A:$B,2,FALSE)&amp;",")</f>
        <v>20033,</v>
      </c>
      <c r="AS193" s="60" t="str">
        <f>IF(W193="","",VLOOKUP(W193,物品id!$A:$B,2,FALSE)&amp;",")</f>
        <v>102,</v>
      </c>
      <c r="AT193" s="60" t="str">
        <f t="shared" si="379"/>
        <v>20033,102,</v>
      </c>
      <c r="AU193" s="60" t="str">
        <f t="shared" si="380"/>
        <v>[20033,102]</v>
      </c>
      <c r="AV193" s="60" t="str">
        <f t="shared" si="294"/>
        <v>2,</v>
      </c>
      <c r="AW193" s="60" t="str">
        <f t="shared" si="295"/>
        <v>1440,</v>
      </c>
      <c r="AX193" s="60" t="str">
        <f t="shared" si="381"/>
        <v>2,1440,</v>
      </c>
      <c r="AY193" s="60" t="str">
        <f t="shared" si="382"/>
        <v>[2,1440]</v>
      </c>
    </row>
    <row r="194" spans="1:51" s="60" customFormat="1" x14ac:dyDescent="0.2">
      <c r="A194" s="60">
        <v>5</v>
      </c>
      <c r="B194" s="60" t="s">
        <v>1132</v>
      </c>
      <c r="C194" s="60">
        <v>58</v>
      </c>
      <c r="D194" s="34" t="s">
        <v>1163</v>
      </c>
      <c r="E194" s="60" t="s">
        <v>1017</v>
      </c>
      <c r="F194" s="60">
        <v>3</v>
      </c>
      <c r="G194" s="60" t="s">
        <v>815</v>
      </c>
      <c r="H194" s="60" t="s">
        <v>817</v>
      </c>
      <c r="I194" s="60" t="s">
        <v>818</v>
      </c>
      <c r="J194" s="17">
        <v>1</v>
      </c>
      <c r="K194" s="17">
        <v>0.8</v>
      </c>
      <c r="L194" s="17">
        <v>0</v>
      </c>
      <c r="M194" s="35">
        <f>(IF(G194="",挂机玩法规划!$L$2,VLOOKUP(G194,物品id!A:D,4,FALSE)*IF(J194=0,1,4))*IF(J194=0,1,J194)+IF(H194="",挂机玩法规划!$L$2,VLOOKUP(H194,物品id!A:D,4,FALSE)*IF(K194=0,1,4))*IF(K194=0,1,K194)+IF(I194="",挂机玩法规划!$L$2,VLOOKUP(I194,物品id!A:D,4,FALSE)*IF(L194=0,1,4))*IF(L194=0,1,L194))/O194</f>
        <v>0.64375000000000004</v>
      </c>
      <c r="N194" s="44">
        <f>IF(G194="",挂机玩法规划!$L$2,VLOOKUP(G194,物品id!A:D,4,FALSE)*4)+IF(H194="",挂机玩法规划!$L$2,VLOOKUP(H194,物品id!A:D,4,FALSE)*4)+IF(I194="",挂机玩法规划!$L$2,VLOOKUP(I194,物品id!A:D,4,FALSE)*4)</f>
        <v>320</v>
      </c>
      <c r="O194" s="61">
        <v>320</v>
      </c>
      <c r="P194" s="60">
        <v>4</v>
      </c>
      <c r="Q194" s="60">
        <v>4</v>
      </c>
      <c r="R194" s="60">
        <v>4</v>
      </c>
      <c r="S194" s="60">
        <v>240</v>
      </c>
      <c r="T194" s="60" t="s">
        <v>835</v>
      </c>
      <c r="U194" s="60">
        <v>240</v>
      </c>
      <c r="V194" s="60" t="s">
        <v>837</v>
      </c>
      <c r="W194" s="60" t="s">
        <v>200</v>
      </c>
      <c r="X194" s="60">
        <v>2</v>
      </c>
      <c r="Y194" s="60">
        <f>U194*挂机玩法规划!$O$4*VLOOKUP(E194,挂机玩法规划!$G$2:$I$17,3,FALSE)</f>
        <v>1440</v>
      </c>
      <c r="Z194" s="17">
        <f t="shared" si="296"/>
        <v>1.2875000000000001</v>
      </c>
      <c r="AA194" s="17">
        <f t="shared" si="297"/>
        <v>927.00000000000011</v>
      </c>
      <c r="AB194" s="17">
        <f>(VLOOKUP(V194,物品id!A:E,5,FALSE)*挂机玩法填表!Z194+VLOOKUP(挂机玩法填表!W194,物品id!A:E,5,FALSE)*挂机玩法填表!AA194)/(U194/60)</f>
        <v>43.723500000000001</v>
      </c>
      <c r="AD194" s="60" t="str">
        <f>IF(G194="","",VLOOKUP(G194,物品id!$A:$B,2,FALSE)&amp;",")</f>
        <v>2211,</v>
      </c>
      <c r="AE194" s="60" t="str">
        <f>IF(H194="","",VLOOKUP(H194,物品id!$A:$B,2,FALSE)&amp;",")</f>
        <v>2311,</v>
      </c>
      <c r="AF194" s="60" t="str">
        <f>IF(I194="","",VLOOKUP(I194,物品id!$A:$B,2,FALSE)&amp;",")</f>
        <v>2321,</v>
      </c>
      <c r="AG194" s="60" t="str">
        <f t="shared" si="375"/>
        <v>2211,2311,2321,</v>
      </c>
      <c r="AH194" s="60" t="str">
        <f t="shared" si="376"/>
        <v>[2211,2311,2321]</v>
      </c>
      <c r="AI194" s="17" t="str">
        <f t="shared" si="364"/>
        <v>4,</v>
      </c>
      <c r="AJ194" s="17" t="str">
        <f t="shared" si="365"/>
        <v>4,</v>
      </c>
      <c r="AK194" s="17" t="str">
        <f t="shared" si="366"/>
        <v>4,</v>
      </c>
      <c r="AL194" s="60" t="str">
        <f t="shared" si="377"/>
        <v>4,4,4,</v>
      </c>
      <c r="AM194" s="60" t="str">
        <f t="shared" si="378"/>
        <v>[4,4,4]</v>
      </c>
      <c r="AN194" s="60" t="str">
        <f>VLOOKUP(T194,物品id!$A:$B,2,FALSE)&amp;","</f>
        <v>102,</v>
      </c>
      <c r="AO194" s="17" t="str">
        <f t="shared" si="298"/>
        <v>[102]</v>
      </c>
      <c r="AP194" s="60" t="str">
        <f t="shared" ref="AP194:AP247" si="383">U194&amp;","</f>
        <v>240,</v>
      </c>
      <c r="AQ194" s="17" t="str">
        <f t="shared" si="299"/>
        <v>[240]</v>
      </c>
      <c r="AR194" s="60" t="str">
        <f>IF(V194="","",VLOOKUP(V194,物品id!$A:$B,2,FALSE)&amp;",")</f>
        <v>20033,</v>
      </c>
      <c r="AS194" s="60" t="str">
        <f>IF(W194="","",VLOOKUP(W194,物品id!$A:$B,2,FALSE)&amp;",")</f>
        <v>102,</v>
      </c>
      <c r="AT194" s="60" t="str">
        <f t="shared" si="379"/>
        <v>20033,102,</v>
      </c>
      <c r="AU194" s="60" t="str">
        <f t="shared" si="380"/>
        <v>[20033,102]</v>
      </c>
      <c r="AV194" s="60" t="str">
        <f t="shared" ref="AV194:AV247" si="384">IF(X194="","",X194&amp;",")</f>
        <v>2,</v>
      </c>
      <c r="AW194" s="60" t="str">
        <f t="shared" ref="AW194:AW247" si="385">IF(Y194="","",Y194&amp;",")</f>
        <v>1440,</v>
      </c>
      <c r="AX194" s="60" t="str">
        <f t="shared" si="381"/>
        <v>2,1440,</v>
      </c>
      <c r="AY194" s="60" t="str">
        <f t="shared" si="382"/>
        <v>[2,1440]</v>
      </c>
    </row>
    <row r="195" spans="1:51" s="60" customFormat="1" x14ac:dyDescent="0.2">
      <c r="A195" s="60">
        <v>5</v>
      </c>
      <c r="B195" s="60" t="s">
        <v>1132</v>
      </c>
      <c r="C195" s="60">
        <v>58</v>
      </c>
      <c r="D195" s="34" t="s">
        <v>1163</v>
      </c>
      <c r="E195" s="60" t="s">
        <v>1017</v>
      </c>
      <c r="F195" s="60">
        <v>3</v>
      </c>
      <c r="G195" s="60" t="s">
        <v>825</v>
      </c>
      <c r="H195" s="60" t="s">
        <v>827</v>
      </c>
      <c r="I195" s="60" t="s">
        <v>828</v>
      </c>
      <c r="J195" s="17">
        <v>1</v>
      </c>
      <c r="K195" s="17">
        <v>0.8</v>
      </c>
      <c r="L195" s="17">
        <v>0</v>
      </c>
      <c r="M195" s="35">
        <f>(IF(G195="",挂机玩法规划!$L$2,VLOOKUP(G195,物品id!A:D,4,FALSE)*IF(J195=0,1,4))*IF(J195=0,1,J195)+IF(H195="",挂机玩法规划!$L$2,VLOOKUP(H195,物品id!A:D,4,FALSE)*IF(K195=0,1,4))*IF(K195=0,1,K195)+IF(I195="",挂机玩法规划!$L$2,VLOOKUP(I195,物品id!A:D,4,FALSE)*IF(L195=0,1,4))*IF(L195=0,1,L195))/O195</f>
        <v>0.64375000000000004</v>
      </c>
      <c r="N195" s="44">
        <f>IF(G195="",挂机玩法规划!$L$2,VLOOKUP(G195,物品id!A:D,4,FALSE)*4)+IF(H195="",挂机玩法规划!$L$2,VLOOKUP(H195,物品id!A:D,4,FALSE)*4)+IF(I195="",挂机玩法规划!$L$2,VLOOKUP(I195,物品id!A:D,4,FALSE)*4)</f>
        <v>320</v>
      </c>
      <c r="O195" s="61">
        <v>320</v>
      </c>
      <c r="P195" s="60">
        <v>4</v>
      </c>
      <c r="Q195" s="60">
        <v>4</v>
      </c>
      <c r="R195" s="60">
        <v>4</v>
      </c>
      <c r="S195" s="60">
        <v>240</v>
      </c>
      <c r="T195" s="60" t="s">
        <v>835</v>
      </c>
      <c r="U195" s="60">
        <v>240</v>
      </c>
      <c r="V195" s="60" t="s">
        <v>837</v>
      </c>
      <c r="W195" s="60" t="s">
        <v>200</v>
      </c>
      <c r="X195" s="60">
        <v>2</v>
      </c>
      <c r="Y195" s="60">
        <f>U195*挂机玩法规划!$O$4*VLOOKUP(E195,挂机玩法规划!$G$2:$I$17,3,FALSE)</f>
        <v>1440</v>
      </c>
      <c r="Z195" s="17">
        <f t="shared" ref="Z195:Z247" si="386">X195*M195</f>
        <v>1.2875000000000001</v>
      </c>
      <c r="AA195" s="17">
        <f t="shared" ref="AA195:AA247" si="387">Y195*M195</f>
        <v>927.00000000000011</v>
      </c>
      <c r="AB195" s="17">
        <f>(VLOOKUP(V195,物品id!A:E,5,FALSE)*挂机玩法填表!Z195+VLOOKUP(挂机玩法填表!W195,物品id!A:E,5,FALSE)*挂机玩法填表!AA195)/(U195/60)</f>
        <v>43.723500000000001</v>
      </c>
      <c r="AD195" s="60" t="str">
        <f>IF(G195="","",VLOOKUP(G195,物品id!$A:$B,2,FALSE)&amp;",")</f>
        <v>3211,</v>
      </c>
      <c r="AE195" s="60" t="str">
        <f>IF(H195="","",VLOOKUP(H195,物品id!$A:$B,2,FALSE)&amp;",")</f>
        <v>3311,</v>
      </c>
      <c r="AF195" s="60" t="str">
        <f>IF(I195="","",VLOOKUP(I195,物品id!$A:$B,2,FALSE)&amp;",")</f>
        <v>3321,</v>
      </c>
      <c r="AG195" s="60" t="str">
        <f t="shared" si="375"/>
        <v>3211,3311,3321,</v>
      </c>
      <c r="AH195" s="60" t="str">
        <f t="shared" si="376"/>
        <v>[3211,3311,3321]</v>
      </c>
      <c r="AI195" s="17" t="str">
        <f t="shared" ref="AI195:AI247" si="388">IF(P195="","",P195&amp;",")</f>
        <v>4,</v>
      </c>
      <c r="AJ195" s="17" t="str">
        <f t="shared" ref="AJ195:AJ247" si="389">IF(Q195="","",Q195&amp;",")</f>
        <v>4,</v>
      </c>
      <c r="AK195" s="17" t="str">
        <f t="shared" ref="AK195:AK247" si="390">IF(R195="","",R195&amp;",")</f>
        <v>4,</v>
      </c>
      <c r="AL195" s="60" t="str">
        <f t="shared" si="377"/>
        <v>4,4,4,</v>
      </c>
      <c r="AM195" s="60" t="str">
        <f t="shared" si="378"/>
        <v>[4,4,4]</v>
      </c>
      <c r="AN195" s="60" t="str">
        <f>VLOOKUP(T195,物品id!$A:$B,2,FALSE)&amp;","</f>
        <v>102,</v>
      </c>
      <c r="AO195" s="17" t="str">
        <f t="shared" ref="AO195:AO247" si="391">"["&amp;LEFT(AN195,LEN(AN195)-1)&amp;"]"</f>
        <v>[102]</v>
      </c>
      <c r="AP195" s="60" t="str">
        <f t="shared" si="383"/>
        <v>240,</v>
      </c>
      <c r="AQ195" s="17" t="str">
        <f t="shared" ref="AQ195:AQ247" si="392">"["&amp;LEFT(AP195,LEN(AP195)-1)&amp;"]"</f>
        <v>[240]</v>
      </c>
      <c r="AR195" s="60" t="str">
        <f>IF(V195="","",VLOOKUP(V195,物品id!$A:$B,2,FALSE)&amp;",")</f>
        <v>20033,</v>
      </c>
      <c r="AS195" s="60" t="str">
        <f>IF(W195="","",VLOOKUP(W195,物品id!$A:$B,2,FALSE)&amp;",")</f>
        <v>102,</v>
      </c>
      <c r="AT195" s="60" t="str">
        <f t="shared" si="379"/>
        <v>20033,102,</v>
      </c>
      <c r="AU195" s="60" t="str">
        <f t="shared" si="380"/>
        <v>[20033,102]</v>
      </c>
      <c r="AV195" s="60" t="str">
        <f t="shared" si="384"/>
        <v>2,</v>
      </c>
      <c r="AW195" s="60" t="str">
        <f t="shared" si="385"/>
        <v>1440,</v>
      </c>
      <c r="AX195" s="60" t="str">
        <f t="shared" si="381"/>
        <v>2,1440,</v>
      </c>
      <c r="AY195" s="60" t="str">
        <f t="shared" si="382"/>
        <v>[2,1440]</v>
      </c>
    </row>
    <row r="196" spans="1:51" s="60" customFormat="1" x14ac:dyDescent="0.2">
      <c r="A196" s="60">
        <v>5</v>
      </c>
      <c r="B196" s="60" t="s">
        <v>1132</v>
      </c>
      <c r="C196" s="60">
        <v>59</v>
      </c>
      <c r="D196" s="34" t="s">
        <v>1164</v>
      </c>
      <c r="E196" s="60" t="s">
        <v>1017</v>
      </c>
      <c r="F196" s="60">
        <v>3</v>
      </c>
      <c r="G196" s="60" t="s">
        <v>804</v>
      </c>
      <c r="H196" s="60" t="s">
        <v>806</v>
      </c>
      <c r="I196" s="60" t="s">
        <v>807</v>
      </c>
      <c r="J196" s="17">
        <v>1</v>
      </c>
      <c r="K196" s="17">
        <v>0.8</v>
      </c>
      <c r="L196" s="17">
        <v>0</v>
      </c>
      <c r="M196" s="35">
        <f>(IF(G196="",挂机玩法规划!$L$2,VLOOKUP(G196,物品id!A:D,4,FALSE)*IF(J196=0,1,4))*IF(J196=0,1,J196)+IF(H196="",挂机玩法规划!$L$2,VLOOKUP(H196,物品id!A:D,4,FALSE)*IF(K196=0,1,4))*IF(K196=0,1,K196)+IF(I196="",挂机玩法规划!$L$2,VLOOKUP(I196,物品id!A:D,4,FALSE)*IF(L196=0,1,4))*IF(L196=0,1,L196))/O196</f>
        <v>0.64375000000000004</v>
      </c>
      <c r="N196" s="44">
        <f>IF(G196="",挂机玩法规划!$L$2,VLOOKUP(G196,物品id!A:D,4,FALSE)*4)+IF(H196="",挂机玩法规划!$L$2,VLOOKUP(H196,物品id!A:D,4,FALSE)*4)+IF(I196="",挂机玩法规划!$L$2,VLOOKUP(I196,物品id!A:D,4,FALSE)*4)</f>
        <v>320</v>
      </c>
      <c r="O196" s="61">
        <v>320</v>
      </c>
      <c r="P196" s="60">
        <v>4</v>
      </c>
      <c r="Q196" s="60">
        <v>4</v>
      </c>
      <c r="R196" s="60">
        <v>4</v>
      </c>
      <c r="S196" s="60">
        <v>480</v>
      </c>
      <c r="T196" s="60" t="s">
        <v>835</v>
      </c>
      <c r="U196" s="60">
        <v>480</v>
      </c>
      <c r="V196" s="60" t="s">
        <v>1047</v>
      </c>
      <c r="W196" s="60" t="s">
        <v>200</v>
      </c>
      <c r="X196" s="60">
        <v>3</v>
      </c>
      <c r="Y196" s="60">
        <f>U196*挂机玩法规划!$O$4*VLOOKUP(E196,挂机玩法规划!$G$2:$I$17,3,FALSE)</f>
        <v>2880</v>
      </c>
      <c r="Z196" s="17">
        <f t="shared" si="386"/>
        <v>1.9312500000000001</v>
      </c>
      <c r="AA196" s="17">
        <f t="shared" si="387"/>
        <v>1854.0000000000002</v>
      </c>
      <c r="AB196" s="17">
        <f>(VLOOKUP(V196,物品id!A:E,5,FALSE)*挂机玩法填表!Z196+VLOOKUP(挂机玩法填表!W196,物品id!A:E,5,FALSE)*挂机玩法填表!AA196)/(U196/60)</f>
        <v>34.067250000000001</v>
      </c>
      <c r="AD196" s="60" t="str">
        <f>IF(G196="","",VLOOKUP(G196,物品id!$A:$B,2,FALSE)&amp;",")</f>
        <v>1211,</v>
      </c>
      <c r="AE196" s="60" t="str">
        <f>IF(H196="","",VLOOKUP(H196,物品id!$A:$B,2,FALSE)&amp;",")</f>
        <v>1311,</v>
      </c>
      <c r="AF196" s="60" t="str">
        <f>IF(I196="","",VLOOKUP(I196,物品id!$A:$B,2,FALSE)&amp;",")</f>
        <v>1321,</v>
      </c>
      <c r="AG196" s="60" t="str">
        <f t="shared" si="375"/>
        <v>1211,1311,1321,</v>
      </c>
      <c r="AH196" s="60" t="str">
        <f t="shared" si="376"/>
        <v>[1211,1311,1321]</v>
      </c>
      <c r="AI196" s="17" t="str">
        <f t="shared" si="388"/>
        <v>4,</v>
      </c>
      <c r="AJ196" s="17" t="str">
        <f t="shared" si="389"/>
        <v>4,</v>
      </c>
      <c r="AK196" s="17" t="str">
        <f t="shared" si="390"/>
        <v>4,</v>
      </c>
      <c r="AL196" s="60" t="str">
        <f t="shared" si="377"/>
        <v>4,4,4,</v>
      </c>
      <c r="AM196" s="60" t="str">
        <f t="shared" si="378"/>
        <v>[4,4,4]</v>
      </c>
      <c r="AN196" s="60" t="str">
        <f>VLOOKUP(T196,物品id!$A:$B,2,FALSE)&amp;","</f>
        <v>102,</v>
      </c>
      <c r="AO196" s="17" t="str">
        <f t="shared" si="391"/>
        <v>[102]</v>
      </c>
      <c r="AP196" s="60" t="str">
        <f t="shared" si="383"/>
        <v>480,</v>
      </c>
      <c r="AQ196" s="17" t="str">
        <f t="shared" si="392"/>
        <v>[480]</v>
      </c>
      <c r="AR196" s="60" t="str">
        <f>IF(V196="","",VLOOKUP(V196,物品id!$A:$B,2,FALSE)&amp;",")</f>
        <v>20033,</v>
      </c>
      <c r="AS196" s="60" t="str">
        <f>IF(W196="","",VLOOKUP(W196,物品id!$A:$B,2,FALSE)&amp;",")</f>
        <v>102,</v>
      </c>
      <c r="AT196" s="60" t="str">
        <f t="shared" si="379"/>
        <v>20033,102,</v>
      </c>
      <c r="AU196" s="60" t="str">
        <f t="shared" si="380"/>
        <v>[20033,102]</v>
      </c>
      <c r="AV196" s="60" t="str">
        <f t="shared" si="384"/>
        <v>3,</v>
      </c>
      <c r="AW196" s="60" t="str">
        <f t="shared" si="385"/>
        <v>2880,</v>
      </c>
      <c r="AX196" s="60" t="str">
        <f t="shared" si="381"/>
        <v>3,2880,</v>
      </c>
      <c r="AY196" s="60" t="str">
        <f t="shared" si="382"/>
        <v>[3,2880]</v>
      </c>
    </row>
    <row r="197" spans="1:51" s="60" customFormat="1" x14ac:dyDescent="0.2">
      <c r="A197" s="60">
        <v>5</v>
      </c>
      <c r="B197" s="60" t="s">
        <v>1132</v>
      </c>
      <c r="C197" s="60">
        <v>59</v>
      </c>
      <c r="D197" s="34" t="s">
        <v>1164</v>
      </c>
      <c r="E197" s="60" t="s">
        <v>1017</v>
      </c>
      <c r="F197" s="60">
        <v>3</v>
      </c>
      <c r="G197" s="60" t="s">
        <v>815</v>
      </c>
      <c r="H197" s="60" t="s">
        <v>817</v>
      </c>
      <c r="I197" s="60" t="s">
        <v>818</v>
      </c>
      <c r="J197" s="17">
        <v>1</v>
      </c>
      <c r="K197" s="17">
        <v>0.8</v>
      </c>
      <c r="L197" s="17">
        <v>0</v>
      </c>
      <c r="M197" s="35">
        <f>(IF(G197="",挂机玩法规划!$L$2,VLOOKUP(G197,物品id!A:D,4,FALSE)*IF(J197=0,1,4))*IF(J197=0,1,J197)+IF(H197="",挂机玩法规划!$L$2,VLOOKUP(H197,物品id!A:D,4,FALSE)*IF(K197=0,1,4))*IF(K197=0,1,K197)+IF(I197="",挂机玩法规划!$L$2,VLOOKUP(I197,物品id!A:D,4,FALSE)*IF(L197=0,1,4))*IF(L197=0,1,L197))/O197</f>
        <v>0.64375000000000004</v>
      </c>
      <c r="N197" s="44">
        <f>IF(G197="",挂机玩法规划!$L$2,VLOOKUP(G197,物品id!A:D,4,FALSE)*4)+IF(H197="",挂机玩法规划!$L$2,VLOOKUP(H197,物品id!A:D,4,FALSE)*4)+IF(I197="",挂机玩法规划!$L$2,VLOOKUP(I197,物品id!A:D,4,FALSE)*4)</f>
        <v>320</v>
      </c>
      <c r="O197" s="61">
        <v>320</v>
      </c>
      <c r="P197" s="60">
        <v>4</v>
      </c>
      <c r="Q197" s="60">
        <v>4</v>
      </c>
      <c r="R197" s="60">
        <v>4</v>
      </c>
      <c r="S197" s="60">
        <v>480</v>
      </c>
      <c r="T197" s="60" t="s">
        <v>835</v>
      </c>
      <c r="U197" s="60">
        <v>480</v>
      </c>
      <c r="V197" s="60" t="s">
        <v>1047</v>
      </c>
      <c r="W197" s="60" t="s">
        <v>200</v>
      </c>
      <c r="X197" s="60">
        <v>3</v>
      </c>
      <c r="Y197" s="60">
        <f>U197*挂机玩法规划!$O$4*VLOOKUP(E197,挂机玩法规划!$G$2:$I$17,3,FALSE)</f>
        <v>2880</v>
      </c>
      <c r="Z197" s="17">
        <f t="shared" si="386"/>
        <v>1.9312500000000001</v>
      </c>
      <c r="AA197" s="17">
        <f t="shared" si="387"/>
        <v>1854.0000000000002</v>
      </c>
      <c r="AB197" s="17">
        <f>(VLOOKUP(V197,物品id!A:E,5,FALSE)*挂机玩法填表!Z197+VLOOKUP(挂机玩法填表!W197,物品id!A:E,5,FALSE)*挂机玩法填表!AA197)/(U197/60)</f>
        <v>34.067250000000001</v>
      </c>
      <c r="AD197" s="60" t="str">
        <f>IF(G197="","",VLOOKUP(G197,物品id!$A:$B,2,FALSE)&amp;",")</f>
        <v>2211,</v>
      </c>
      <c r="AE197" s="60" t="str">
        <f>IF(H197="","",VLOOKUP(H197,物品id!$A:$B,2,FALSE)&amp;",")</f>
        <v>2311,</v>
      </c>
      <c r="AF197" s="60" t="str">
        <f>IF(I197="","",VLOOKUP(I197,物品id!$A:$B,2,FALSE)&amp;",")</f>
        <v>2321,</v>
      </c>
      <c r="AG197" s="60" t="str">
        <f t="shared" si="375"/>
        <v>2211,2311,2321,</v>
      </c>
      <c r="AH197" s="60" t="str">
        <f t="shared" si="376"/>
        <v>[2211,2311,2321]</v>
      </c>
      <c r="AI197" s="17" t="str">
        <f t="shared" si="388"/>
        <v>4,</v>
      </c>
      <c r="AJ197" s="17" t="str">
        <f t="shared" si="389"/>
        <v>4,</v>
      </c>
      <c r="AK197" s="17" t="str">
        <f t="shared" si="390"/>
        <v>4,</v>
      </c>
      <c r="AL197" s="60" t="str">
        <f t="shared" si="377"/>
        <v>4,4,4,</v>
      </c>
      <c r="AM197" s="60" t="str">
        <f t="shared" si="378"/>
        <v>[4,4,4]</v>
      </c>
      <c r="AN197" s="60" t="str">
        <f>VLOOKUP(T197,物品id!$A:$B,2,FALSE)&amp;","</f>
        <v>102,</v>
      </c>
      <c r="AO197" s="17" t="str">
        <f t="shared" si="391"/>
        <v>[102]</v>
      </c>
      <c r="AP197" s="60" t="str">
        <f t="shared" si="383"/>
        <v>480,</v>
      </c>
      <c r="AQ197" s="17" t="str">
        <f t="shared" si="392"/>
        <v>[480]</v>
      </c>
      <c r="AR197" s="60" t="str">
        <f>IF(V197="","",VLOOKUP(V197,物品id!$A:$B,2,FALSE)&amp;",")</f>
        <v>20033,</v>
      </c>
      <c r="AS197" s="60" t="str">
        <f>IF(W197="","",VLOOKUP(W197,物品id!$A:$B,2,FALSE)&amp;",")</f>
        <v>102,</v>
      </c>
      <c r="AT197" s="60" t="str">
        <f t="shared" si="379"/>
        <v>20033,102,</v>
      </c>
      <c r="AU197" s="60" t="str">
        <f t="shared" si="380"/>
        <v>[20033,102]</v>
      </c>
      <c r="AV197" s="60" t="str">
        <f t="shared" si="384"/>
        <v>3,</v>
      </c>
      <c r="AW197" s="60" t="str">
        <f t="shared" si="385"/>
        <v>2880,</v>
      </c>
      <c r="AX197" s="60" t="str">
        <f t="shared" si="381"/>
        <v>3,2880,</v>
      </c>
      <c r="AY197" s="60" t="str">
        <f t="shared" si="382"/>
        <v>[3,2880]</v>
      </c>
    </row>
    <row r="198" spans="1:51" s="60" customFormat="1" x14ac:dyDescent="0.2">
      <c r="A198" s="60">
        <v>5</v>
      </c>
      <c r="B198" s="60" t="s">
        <v>1132</v>
      </c>
      <c r="C198" s="60">
        <v>59</v>
      </c>
      <c r="D198" s="34" t="s">
        <v>1164</v>
      </c>
      <c r="E198" s="60" t="s">
        <v>1017</v>
      </c>
      <c r="F198" s="60">
        <v>3</v>
      </c>
      <c r="G198" s="60" t="s">
        <v>825</v>
      </c>
      <c r="H198" s="60" t="s">
        <v>827</v>
      </c>
      <c r="I198" s="60" t="s">
        <v>828</v>
      </c>
      <c r="J198" s="17">
        <v>1</v>
      </c>
      <c r="K198" s="17">
        <v>0.8</v>
      </c>
      <c r="L198" s="17">
        <v>0</v>
      </c>
      <c r="M198" s="35">
        <f>(IF(G198="",挂机玩法规划!$L$2,VLOOKUP(G198,物品id!A:D,4,FALSE)*IF(J198=0,1,4))*IF(J198=0,1,J198)+IF(H198="",挂机玩法规划!$L$2,VLOOKUP(H198,物品id!A:D,4,FALSE)*IF(K198=0,1,4))*IF(K198=0,1,K198)+IF(I198="",挂机玩法规划!$L$2,VLOOKUP(I198,物品id!A:D,4,FALSE)*IF(L198=0,1,4))*IF(L198=0,1,L198))/O198</f>
        <v>0.64375000000000004</v>
      </c>
      <c r="N198" s="44">
        <f>IF(G198="",挂机玩法规划!$L$2,VLOOKUP(G198,物品id!A:D,4,FALSE)*4)+IF(H198="",挂机玩法规划!$L$2,VLOOKUP(H198,物品id!A:D,4,FALSE)*4)+IF(I198="",挂机玩法规划!$L$2,VLOOKUP(I198,物品id!A:D,4,FALSE)*4)</f>
        <v>320</v>
      </c>
      <c r="O198" s="61">
        <v>320</v>
      </c>
      <c r="P198" s="60">
        <v>4</v>
      </c>
      <c r="Q198" s="60">
        <v>4</v>
      </c>
      <c r="R198" s="60">
        <v>4</v>
      </c>
      <c r="S198" s="60">
        <v>480</v>
      </c>
      <c r="T198" s="60" t="s">
        <v>835</v>
      </c>
      <c r="U198" s="60">
        <v>480</v>
      </c>
      <c r="V198" s="60" t="s">
        <v>1047</v>
      </c>
      <c r="W198" s="60" t="s">
        <v>200</v>
      </c>
      <c r="X198" s="60">
        <v>3</v>
      </c>
      <c r="Y198" s="60">
        <f>U198*挂机玩法规划!$O$4*VLOOKUP(E198,挂机玩法规划!$G$2:$I$17,3,FALSE)</f>
        <v>2880</v>
      </c>
      <c r="Z198" s="17">
        <f t="shared" si="386"/>
        <v>1.9312500000000001</v>
      </c>
      <c r="AA198" s="17">
        <f t="shared" si="387"/>
        <v>1854.0000000000002</v>
      </c>
      <c r="AB198" s="17">
        <f>(VLOOKUP(V198,物品id!A:E,5,FALSE)*挂机玩法填表!Z198+VLOOKUP(挂机玩法填表!W198,物品id!A:E,5,FALSE)*挂机玩法填表!AA198)/(U198/60)</f>
        <v>34.067250000000001</v>
      </c>
      <c r="AD198" s="60" t="str">
        <f>IF(G198="","",VLOOKUP(G198,物品id!$A:$B,2,FALSE)&amp;",")</f>
        <v>3211,</v>
      </c>
      <c r="AE198" s="60" t="str">
        <f>IF(H198="","",VLOOKUP(H198,物品id!$A:$B,2,FALSE)&amp;",")</f>
        <v>3311,</v>
      </c>
      <c r="AF198" s="60" t="str">
        <f>IF(I198="","",VLOOKUP(I198,物品id!$A:$B,2,FALSE)&amp;",")</f>
        <v>3321,</v>
      </c>
      <c r="AG198" s="60" t="str">
        <f t="shared" si="375"/>
        <v>3211,3311,3321,</v>
      </c>
      <c r="AH198" s="60" t="str">
        <f t="shared" si="376"/>
        <v>[3211,3311,3321]</v>
      </c>
      <c r="AI198" s="17" t="str">
        <f t="shared" si="388"/>
        <v>4,</v>
      </c>
      <c r="AJ198" s="17" t="str">
        <f t="shared" si="389"/>
        <v>4,</v>
      </c>
      <c r="AK198" s="17" t="str">
        <f t="shared" si="390"/>
        <v>4,</v>
      </c>
      <c r="AL198" s="60" t="str">
        <f t="shared" si="377"/>
        <v>4,4,4,</v>
      </c>
      <c r="AM198" s="60" t="str">
        <f t="shared" si="378"/>
        <v>[4,4,4]</v>
      </c>
      <c r="AN198" s="60" t="str">
        <f>VLOOKUP(T198,物品id!$A:$B,2,FALSE)&amp;","</f>
        <v>102,</v>
      </c>
      <c r="AO198" s="17" t="str">
        <f t="shared" si="391"/>
        <v>[102]</v>
      </c>
      <c r="AP198" s="60" t="str">
        <f t="shared" si="383"/>
        <v>480,</v>
      </c>
      <c r="AQ198" s="17" t="str">
        <f t="shared" si="392"/>
        <v>[480]</v>
      </c>
      <c r="AR198" s="60" t="str">
        <f>IF(V198="","",VLOOKUP(V198,物品id!$A:$B,2,FALSE)&amp;",")</f>
        <v>20033,</v>
      </c>
      <c r="AS198" s="60" t="str">
        <f>IF(W198="","",VLOOKUP(W198,物品id!$A:$B,2,FALSE)&amp;",")</f>
        <v>102,</v>
      </c>
      <c r="AT198" s="60" t="str">
        <f t="shared" si="379"/>
        <v>20033,102,</v>
      </c>
      <c r="AU198" s="60" t="str">
        <f t="shared" si="380"/>
        <v>[20033,102]</v>
      </c>
      <c r="AV198" s="60" t="str">
        <f t="shared" si="384"/>
        <v>3,</v>
      </c>
      <c r="AW198" s="60" t="str">
        <f t="shared" si="385"/>
        <v>2880,</v>
      </c>
      <c r="AX198" s="60" t="str">
        <f t="shared" si="381"/>
        <v>3,2880,</v>
      </c>
      <c r="AY198" s="60" t="str">
        <f t="shared" si="382"/>
        <v>[3,2880]</v>
      </c>
    </row>
    <row r="199" spans="1:51" s="60" customFormat="1" x14ac:dyDescent="0.2">
      <c r="A199" s="60">
        <v>5</v>
      </c>
      <c r="B199" s="60" t="s">
        <v>1132</v>
      </c>
      <c r="C199" s="60">
        <v>60</v>
      </c>
      <c r="D199" s="34" t="s">
        <v>1165</v>
      </c>
      <c r="E199" s="60" t="s">
        <v>1017</v>
      </c>
      <c r="F199" s="60">
        <v>3</v>
      </c>
      <c r="G199" s="60" t="s">
        <v>807</v>
      </c>
      <c r="H199" s="60" t="s">
        <v>818</v>
      </c>
      <c r="I199" s="60" t="s">
        <v>828</v>
      </c>
      <c r="J199" s="17">
        <v>1</v>
      </c>
      <c r="K199" s="17">
        <v>0.8</v>
      </c>
      <c r="L199" s="17">
        <v>0</v>
      </c>
      <c r="M199" s="35">
        <f>(IF(G199="",挂机玩法规划!$L$2,VLOOKUP(G199,物品id!A:D,4,FALSE)*IF(J199=0,1,4))*IF(J199=0,1,J199)+IF(H199="",挂机玩法规划!$L$2,VLOOKUP(H199,物品id!A:D,4,FALSE)*IF(K199=0,1,4))*IF(K199=0,1,K199)+IF(I199="",挂机玩法规划!$L$2,VLOOKUP(I199,物品id!A:D,4,FALSE)*IF(L199=0,1,4))*IF(L199=0,1,L199))/O199</f>
        <v>0.68333333333333335</v>
      </c>
      <c r="N199" s="44">
        <f>IF(G199="",挂机玩法规划!$L$2,VLOOKUP(G199,物品id!A:D,4,FALSE)*4)+IF(H199="",挂机玩法规划!$L$2,VLOOKUP(H199,物品id!A:D,4,FALSE)*4)+IF(I199="",挂机玩法规划!$L$2,VLOOKUP(I199,物品id!A:D,4,FALSE)*4)</f>
        <v>360</v>
      </c>
      <c r="O199" s="61">
        <v>360</v>
      </c>
      <c r="P199" s="60">
        <v>4</v>
      </c>
      <c r="Q199" s="60">
        <v>4</v>
      </c>
      <c r="R199" s="60">
        <v>4</v>
      </c>
      <c r="S199" s="60">
        <v>720</v>
      </c>
      <c r="T199" s="60" t="s">
        <v>835</v>
      </c>
      <c r="U199" s="60">
        <v>720</v>
      </c>
      <c r="V199" s="60" t="s">
        <v>837</v>
      </c>
      <c r="W199" s="60" t="s">
        <v>200</v>
      </c>
      <c r="X199" s="60">
        <v>4</v>
      </c>
      <c r="Y199" s="60">
        <f>U199*挂机玩法规划!$O$4*VLOOKUP(E199,挂机玩法规划!$G$2:$I$17,3,FALSE)</f>
        <v>4320</v>
      </c>
      <c r="Z199" s="17">
        <f t="shared" si="386"/>
        <v>2.7333333333333334</v>
      </c>
      <c r="AA199" s="17">
        <f t="shared" si="387"/>
        <v>2952</v>
      </c>
      <c r="AB199" s="17">
        <f>(VLOOKUP(V199,物品id!A:E,5,FALSE)*挂机玩法填表!Z199+VLOOKUP(挂机玩法填表!W199,物品id!A:E,5,FALSE)*挂机玩法填表!AA199)/(U199/60)</f>
        <v>32.745333333333335</v>
      </c>
      <c r="AD199" s="60" t="str">
        <f>IF(G199="","",VLOOKUP(G199,物品id!$A:$B,2,FALSE)&amp;",")</f>
        <v>1321,</v>
      </c>
      <c r="AE199" s="60" t="str">
        <f>IF(H199="","",VLOOKUP(H199,物品id!$A:$B,2,FALSE)&amp;",")</f>
        <v>2321,</v>
      </c>
      <c r="AF199" s="60" t="str">
        <f>IF(I199="","",VLOOKUP(I199,物品id!$A:$B,2,FALSE)&amp;",")</f>
        <v>3321,</v>
      </c>
      <c r="AG199" s="60" t="str">
        <f t="shared" si="375"/>
        <v>1321,2321,3321,</v>
      </c>
      <c r="AH199" s="60" t="str">
        <f t="shared" si="376"/>
        <v>[1321,2321,3321]</v>
      </c>
      <c r="AI199" s="17" t="str">
        <f t="shared" si="388"/>
        <v>4,</v>
      </c>
      <c r="AJ199" s="17" t="str">
        <f t="shared" si="389"/>
        <v>4,</v>
      </c>
      <c r="AK199" s="17" t="str">
        <f t="shared" si="390"/>
        <v>4,</v>
      </c>
      <c r="AL199" s="60" t="str">
        <f t="shared" si="377"/>
        <v>4,4,4,</v>
      </c>
      <c r="AM199" s="60" t="str">
        <f t="shared" si="378"/>
        <v>[4,4,4]</v>
      </c>
      <c r="AN199" s="60" t="str">
        <f>VLOOKUP(T199,物品id!$A:$B,2,FALSE)&amp;","</f>
        <v>102,</v>
      </c>
      <c r="AO199" s="17" t="str">
        <f t="shared" si="391"/>
        <v>[102]</v>
      </c>
      <c r="AP199" s="60" t="str">
        <f t="shared" si="383"/>
        <v>720,</v>
      </c>
      <c r="AQ199" s="17" t="str">
        <f t="shared" si="392"/>
        <v>[720]</v>
      </c>
      <c r="AR199" s="60" t="str">
        <f>IF(V199="","",VLOOKUP(V199,物品id!$A:$B,2,FALSE)&amp;",")</f>
        <v>20033,</v>
      </c>
      <c r="AS199" s="60" t="str">
        <f>IF(W199="","",VLOOKUP(W199,物品id!$A:$B,2,FALSE)&amp;",")</f>
        <v>102,</v>
      </c>
      <c r="AT199" s="60" t="str">
        <f t="shared" si="379"/>
        <v>20033,102,</v>
      </c>
      <c r="AU199" s="60" t="str">
        <f t="shared" si="380"/>
        <v>[20033,102]</v>
      </c>
      <c r="AV199" s="60" t="str">
        <f t="shared" si="384"/>
        <v>4,</v>
      </c>
      <c r="AW199" s="60" t="str">
        <f t="shared" si="385"/>
        <v>4320,</v>
      </c>
      <c r="AX199" s="60" t="str">
        <f t="shared" si="381"/>
        <v>4,4320,</v>
      </c>
      <c r="AY199" s="60" t="str">
        <f t="shared" si="382"/>
        <v>[4,4320]</v>
      </c>
    </row>
    <row r="200" spans="1:51" s="60" customFormat="1" x14ac:dyDescent="0.2">
      <c r="A200" s="60">
        <v>4</v>
      </c>
      <c r="B200" s="60" t="s">
        <v>1132</v>
      </c>
      <c r="C200" s="60">
        <v>61</v>
      </c>
      <c r="D200" s="34" t="s">
        <v>1166</v>
      </c>
      <c r="E200" s="60" t="s">
        <v>1017</v>
      </c>
      <c r="F200" s="60">
        <v>3</v>
      </c>
      <c r="G200" s="60" t="s">
        <v>804</v>
      </c>
      <c r="H200" s="60" t="s">
        <v>806</v>
      </c>
      <c r="I200" s="60" t="s">
        <v>807</v>
      </c>
      <c r="J200" s="17">
        <v>1</v>
      </c>
      <c r="K200" s="17">
        <v>0.8</v>
      </c>
      <c r="L200" s="17">
        <v>0</v>
      </c>
      <c r="M200" s="35">
        <f>(IF(G200="",挂机玩法规划!$L$2,VLOOKUP(G200,物品id!A:D,4,FALSE)*IF(J200=0,1,4))*IF(J200=0,1,J200)+IF(H200="",挂机玩法规划!$L$2,VLOOKUP(H200,物品id!A:D,4,FALSE)*IF(K200=0,1,4))*IF(K200=0,1,K200)+IF(I200="",挂机玩法规划!$L$2,VLOOKUP(I200,物品id!A:D,4,FALSE)*IF(L200=0,1,4))*IF(L200=0,1,L200))/O200</f>
        <v>0.64375000000000004</v>
      </c>
      <c r="N200" s="44">
        <f>IF(G200="",挂机玩法规划!$L$2,VLOOKUP(G200,物品id!A:D,4,FALSE)*4)+IF(H200="",挂机玩法规划!$L$2,VLOOKUP(H200,物品id!A:D,4,FALSE)*4)+IF(I200="",挂机玩法规划!$L$2,VLOOKUP(I200,物品id!A:D,4,FALSE)*4)</f>
        <v>320</v>
      </c>
      <c r="O200" s="61">
        <v>320</v>
      </c>
      <c r="P200" s="60">
        <v>4</v>
      </c>
      <c r="Q200" s="60">
        <v>4</v>
      </c>
      <c r="R200" s="60">
        <v>4</v>
      </c>
      <c r="S200" s="60">
        <v>120</v>
      </c>
      <c r="T200" s="60" t="s">
        <v>835</v>
      </c>
      <c r="U200" s="60">
        <v>120</v>
      </c>
      <c r="V200" s="60" t="s">
        <v>841</v>
      </c>
      <c r="W200" s="60" t="s">
        <v>200</v>
      </c>
      <c r="X200" s="60">
        <v>1</v>
      </c>
      <c r="Y200" s="60">
        <f>U200*挂机玩法规划!$O$4*VLOOKUP(E200,挂机玩法规划!$G$2:$I$17,3,FALSE)</f>
        <v>720</v>
      </c>
      <c r="Z200" s="17">
        <f t="shared" si="386"/>
        <v>0.64375000000000004</v>
      </c>
      <c r="AA200" s="17">
        <f t="shared" si="387"/>
        <v>463.50000000000006</v>
      </c>
      <c r="AB200" s="17">
        <f>(VLOOKUP(V200,物品id!A:E,5,FALSE)*挂机玩法填表!Z200+VLOOKUP(挂机玩法填表!W200,物品id!A:E,5,FALSE)*挂机玩法填表!AA200)/(U200/60)</f>
        <v>37.286000000000001</v>
      </c>
      <c r="AD200" s="60" t="str">
        <f>IF(G200="","",VLOOKUP(G200,物品id!$A:$B,2,FALSE)&amp;",")</f>
        <v>1211,</v>
      </c>
      <c r="AE200" s="60" t="str">
        <f>IF(H200="","",VLOOKUP(H200,物品id!$A:$B,2,FALSE)&amp;",")</f>
        <v>1311,</v>
      </c>
      <c r="AF200" s="60" t="str">
        <f>IF(I200="","",VLOOKUP(I200,物品id!$A:$B,2,FALSE)&amp;",")</f>
        <v>1321,</v>
      </c>
      <c r="AG200" s="60" t="str">
        <f t="shared" si="375"/>
        <v>1211,1311,1321,</v>
      </c>
      <c r="AH200" s="60" t="str">
        <f t="shared" si="376"/>
        <v>[1211,1311,1321]</v>
      </c>
      <c r="AI200" s="17" t="str">
        <f t="shared" si="388"/>
        <v>4,</v>
      </c>
      <c r="AJ200" s="17" t="str">
        <f t="shared" si="389"/>
        <v>4,</v>
      </c>
      <c r="AK200" s="17" t="str">
        <f t="shared" si="390"/>
        <v>4,</v>
      </c>
      <c r="AL200" s="60" t="str">
        <f t="shared" si="377"/>
        <v>4,4,4,</v>
      </c>
      <c r="AM200" s="60" t="str">
        <f t="shared" si="378"/>
        <v>[4,4,4]</v>
      </c>
      <c r="AN200" s="60" t="str">
        <f>VLOOKUP(T200,物品id!$A:$B,2,FALSE)&amp;","</f>
        <v>102,</v>
      </c>
      <c r="AO200" s="17" t="str">
        <f t="shared" si="391"/>
        <v>[102]</v>
      </c>
      <c r="AP200" s="60" t="str">
        <f t="shared" si="383"/>
        <v>120,</v>
      </c>
      <c r="AQ200" s="17" t="str">
        <f t="shared" si="392"/>
        <v>[120]</v>
      </c>
      <c r="AR200" s="60" t="str">
        <f>IF(V200="","",VLOOKUP(V200,物品id!$A:$B,2,FALSE)&amp;",")</f>
        <v>20037,</v>
      </c>
      <c r="AS200" s="60" t="str">
        <f>IF(W200="","",VLOOKUP(W200,物品id!$A:$B,2,FALSE)&amp;",")</f>
        <v>102,</v>
      </c>
      <c r="AT200" s="60" t="str">
        <f t="shared" si="379"/>
        <v>20037,102,</v>
      </c>
      <c r="AU200" s="60" t="str">
        <f t="shared" si="380"/>
        <v>[20037,102]</v>
      </c>
      <c r="AV200" s="60" t="str">
        <f t="shared" si="384"/>
        <v>1,</v>
      </c>
      <c r="AW200" s="60" t="str">
        <f t="shared" si="385"/>
        <v>720,</v>
      </c>
      <c r="AX200" s="60" t="str">
        <f t="shared" si="381"/>
        <v>1,720,</v>
      </c>
      <c r="AY200" s="60" t="str">
        <f t="shared" si="382"/>
        <v>[1,720]</v>
      </c>
    </row>
    <row r="201" spans="1:51" s="60" customFormat="1" x14ac:dyDescent="0.2">
      <c r="A201" s="60">
        <v>4</v>
      </c>
      <c r="B201" s="60" t="s">
        <v>1132</v>
      </c>
      <c r="C201" s="60">
        <v>61</v>
      </c>
      <c r="D201" s="34" t="s">
        <v>1166</v>
      </c>
      <c r="E201" s="60" t="s">
        <v>1017</v>
      </c>
      <c r="F201" s="60">
        <v>3</v>
      </c>
      <c r="G201" s="60" t="s">
        <v>815</v>
      </c>
      <c r="H201" s="60" t="s">
        <v>817</v>
      </c>
      <c r="I201" s="60" t="s">
        <v>818</v>
      </c>
      <c r="J201" s="17">
        <v>1</v>
      </c>
      <c r="K201" s="17">
        <v>0.8</v>
      </c>
      <c r="L201" s="17">
        <v>0</v>
      </c>
      <c r="M201" s="35">
        <f>(IF(G201="",挂机玩法规划!$L$2,VLOOKUP(G201,物品id!A:D,4,FALSE)*IF(J201=0,1,4))*IF(J201=0,1,J201)+IF(H201="",挂机玩法规划!$L$2,VLOOKUP(H201,物品id!A:D,4,FALSE)*IF(K201=0,1,4))*IF(K201=0,1,K201)+IF(I201="",挂机玩法规划!$L$2,VLOOKUP(I201,物品id!A:D,4,FALSE)*IF(L201=0,1,4))*IF(L201=0,1,L201))/O201</f>
        <v>0.64375000000000004</v>
      </c>
      <c r="N201" s="44">
        <f>IF(G201="",挂机玩法规划!$L$2,VLOOKUP(G201,物品id!A:D,4,FALSE)*4)+IF(H201="",挂机玩法规划!$L$2,VLOOKUP(H201,物品id!A:D,4,FALSE)*4)+IF(I201="",挂机玩法规划!$L$2,VLOOKUP(I201,物品id!A:D,4,FALSE)*4)</f>
        <v>320</v>
      </c>
      <c r="O201" s="61">
        <v>320</v>
      </c>
      <c r="P201" s="60">
        <v>4</v>
      </c>
      <c r="Q201" s="60">
        <v>4</v>
      </c>
      <c r="R201" s="60">
        <v>4</v>
      </c>
      <c r="S201" s="60">
        <v>120</v>
      </c>
      <c r="T201" s="60" t="s">
        <v>835</v>
      </c>
      <c r="U201" s="60">
        <v>120</v>
      </c>
      <c r="V201" s="60" t="s">
        <v>841</v>
      </c>
      <c r="W201" s="60" t="s">
        <v>200</v>
      </c>
      <c r="X201" s="60">
        <v>1</v>
      </c>
      <c r="Y201" s="60">
        <f>U201*挂机玩法规划!$O$4*VLOOKUP(E201,挂机玩法规划!$G$2:$I$17,3,FALSE)</f>
        <v>720</v>
      </c>
      <c r="Z201" s="17">
        <f t="shared" si="386"/>
        <v>0.64375000000000004</v>
      </c>
      <c r="AA201" s="17">
        <f t="shared" si="387"/>
        <v>463.50000000000006</v>
      </c>
      <c r="AB201" s="17">
        <f>(VLOOKUP(V201,物品id!A:E,5,FALSE)*挂机玩法填表!Z201+VLOOKUP(挂机玩法填表!W201,物品id!A:E,5,FALSE)*挂机玩法填表!AA201)/(U201/60)</f>
        <v>37.286000000000001</v>
      </c>
      <c r="AD201" s="60" t="str">
        <f>IF(G201="","",VLOOKUP(G201,物品id!$A:$B,2,FALSE)&amp;",")</f>
        <v>2211,</v>
      </c>
      <c r="AE201" s="60" t="str">
        <f>IF(H201="","",VLOOKUP(H201,物品id!$A:$B,2,FALSE)&amp;",")</f>
        <v>2311,</v>
      </c>
      <c r="AF201" s="60" t="str">
        <f>IF(I201="","",VLOOKUP(I201,物品id!$A:$B,2,FALSE)&amp;",")</f>
        <v>2321,</v>
      </c>
      <c r="AG201" s="60" t="str">
        <f t="shared" si="375"/>
        <v>2211,2311,2321,</v>
      </c>
      <c r="AH201" s="60" t="str">
        <f t="shared" si="376"/>
        <v>[2211,2311,2321]</v>
      </c>
      <c r="AI201" s="17" t="str">
        <f t="shared" si="388"/>
        <v>4,</v>
      </c>
      <c r="AJ201" s="17" t="str">
        <f t="shared" si="389"/>
        <v>4,</v>
      </c>
      <c r="AK201" s="17" t="str">
        <f t="shared" si="390"/>
        <v>4,</v>
      </c>
      <c r="AL201" s="60" t="str">
        <f t="shared" si="377"/>
        <v>4,4,4,</v>
      </c>
      <c r="AM201" s="60" t="str">
        <f t="shared" si="378"/>
        <v>[4,4,4]</v>
      </c>
      <c r="AN201" s="60" t="str">
        <f>VLOOKUP(T201,物品id!$A:$B,2,FALSE)&amp;","</f>
        <v>102,</v>
      </c>
      <c r="AO201" s="17" t="str">
        <f t="shared" si="391"/>
        <v>[102]</v>
      </c>
      <c r="AP201" s="60" t="str">
        <f t="shared" si="383"/>
        <v>120,</v>
      </c>
      <c r="AQ201" s="17" t="str">
        <f t="shared" si="392"/>
        <v>[120]</v>
      </c>
      <c r="AR201" s="60" t="str">
        <f>IF(V201="","",VLOOKUP(V201,物品id!$A:$B,2,FALSE)&amp;",")</f>
        <v>20037,</v>
      </c>
      <c r="AS201" s="60" t="str">
        <f>IF(W201="","",VLOOKUP(W201,物品id!$A:$B,2,FALSE)&amp;",")</f>
        <v>102,</v>
      </c>
      <c r="AT201" s="60" t="str">
        <f t="shared" si="379"/>
        <v>20037,102,</v>
      </c>
      <c r="AU201" s="60" t="str">
        <f t="shared" si="380"/>
        <v>[20037,102]</v>
      </c>
      <c r="AV201" s="60" t="str">
        <f t="shared" si="384"/>
        <v>1,</v>
      </c>
      <c r="AW201" s="60" t="str">
        <f t="shared" si="385"/>
        <v>720,</v>
      </c>
      <c r="AX201" s="60" t="str">
        <f t="shared" si="381"/>
        <v>1,720,</v>
      </c>
      <c r="AY201" s="60" t="str">
        <f t="shared" si="382"/>
        <v>[1,720]</v>
      </c>
    </row>
    <row r="202" spans="1:51" s="60" customFormat="1" x14ac:dyDescent="0.2">
      <c r="A202" s="60">
        <v>4</v>
      </c>
      <c r="B202" s="60" t="s">
        <v>1132</v>
      </c>
      <c r="C202" s="60">
        <v>61</v>
      </c>
      <c r="D202" s="34" t="s">
        <v>1166</v>
      </c>
      <c r="E202" s="60" t="s">
        <v>1017</v>
      </c>
      <c r="F202" s="60">
        <v>3</v>
      </c>
      <c r="G202" s="60" t="s">
        <v>825</v>
      </c>
      <c r="H202" s="60" t="s">
        <v>827</v>
      </c>
      <c r="I202" s="60" t="s">
        <v>828</v>
      </c>
      <c r="J202" s="17">
        <v>1</v>
      </c>
      <c r="K202" s="17">
        <v>0.8</v>
      </c>
      <c r="L202" s="17">
        <v>0</v>
      </c>
      <c r="M202" s="35">
        <f>(IF(G202="",挂机玩法规划!$L$2,VLOOKUP(G202,物品id!A:D,4,FALSE)*IF(J202=0,1,4))*IF(J202=0,1,J202)+IF(H202="",挂机玩法规划!$L$2,VLOOKUP(H202,物品id!A:D,4,FALSE)*IF(K202=0,1,4))*IF(K202=0,1,K202)+IF(I202="",挂机玩法规划!$L$2,VLOOKUP(I202,物品id!A:D,4,FALSE)*IF(L202=0,1,4))*IF(L202=0,1,L202))/O202</f>
        <v>0.64375000000000004</v>
      </c>
      <c r="N202" s="44">
        <f>IF(G202="",挂机玩法规划!$L$2,VLOOKUP(G202,物品id!A:D,4,FALSE)*4)+IF(H202="",挂机玩法规划!$L$2,VLOOKUP(H202,物品id!A:D,4,FALSE)*4)+IF(I202="",挂机玩法规划!$L$2,VLOOKUP(I202,物品id!A:D,4,FALSE)*4)</f>
        <v>320</v>
      </c>
      <c r="O202" s="61">
        <v>320</v>
      </c>
      <c r="P202" s="60">
        <v>4</v>
      </c>
      <c r="Q202" s="60">
        <v>4</v>
      </c>
      <c r="R202" s="60">
        <v>4</v>
      </c>
      <c r="S202" s="60">
        <v>120</v>
      </c>
      <c r="T202" s="60" t="s">
        <v>835</v>
      </c>
      <c r="U202" s="60">
        <v>120</v>
      </c>
      <c r="V202" s="60" t="s">
        <v>841</v>
      </c>
      <c r="W202" s="60" t="s">
        <v>200</v>
      </c>
      <c r="X202" s="60">
        <v>1</v>
      </c>
      <c r="Y202" s="60">
        <f>U202*挂机玩法规划!$O$4*VLOOKUP(E202,挂机玩法规划!$G$2:$I$17,3,FALSE)</f>
        <v>720</v>
      </c>
      <c r="Z202" s="17">
        <f t="shared" si="386"/>
        <v>0.64375000000000004</v>
      </c>
      <c r="AA202" s="17">
        <f t="shared" si="387"/>
        <v>463.50000000000006</v>
      </c>
      <c r="AB202" s="17">
        <f>(VLOOKUP(V202,物品id!A:E,5,FALSE)*挂机玩法填表!Z202+VLOOKUP(挂机玩法填表!W202,物品id!A:E,5,FALSE)*挂机玩法填表!AA202)/(U202/60)</f>
        <v>37.286000000000001</v>
      </c>
      <c r="AD202" s="60" t="str">
        <f>IF(G202="","",VLOOKUP(G202,物品id!$A:$B,2,FALSE)&amp;",")</f>
        <v>3211,</v>
      </c>
      <c r="AE202" s="60" t="str">
        <f>IF(H202="","",VLOOKUP(H202,物品id!$A:$B,2,FALSE)&amp;",")</f>
        <v>3311,</v>
      </c>
      <c r="AF202" s="60" t="str">
        <f>IF(I202="","",VLOOKUP(I202,物品id!$A:$B,2,FALSE)&amp;",")</f>
        <v>3321,</v>
      </c>
      <c r="AG202" s="60" t="str">
        <f t="shared" si="375"/>
        <v>3211,3311,3321,</v>
      </c>
      <c r="AH202" s="60" t="str">
        <f t="shared" si="376"/>
        <v>[3211,3311,3321]</v>
      </c>
      <c r="AI202" s="17" t="str">
        <f t="shared" si="388"/>
        <v>4,</v>
      </c>
      <c r="AJ202" s="17" t="str">
        <f t="shared" si="389"/>
        <v>4,</v>
      </c>
      <c r="AK202" s="17" t="str">
        <f t="shared" si="390"/>
        <v>4,</v>
      </c>
      <c r="AL202" s="60" t="str">
        <f t="shared" si="377"/>
        <v>4,4,4,</v>
      </c>
      <c r="AM202" s="60" t="str">
        <f t="shared" si="378"/>
        <v>[4,4,4]</v>
      </c>
      <c r="AN202" s="60" t="str">
        <f>VLOOKUP(T202,物品id!$A:$B,2,FALSE)&amp;","</f>
        <v>102,</v>
      </c>
      <c r="AO202" s="17" t="str">
        <f t="shared" si="391"/>
        <v>[102]</v>
      </c>
      <c r="AP202" s="60" t="str">
        <f t="shared" si="383"/>
        <v>120,</v>
      </c>
      <c r="AQ202" s="17" t="str">
        <f t="shared" si="392"/>
        <v>[120]</v>
      </c>
      <c r="AR202" s="60" t="str">
        <f>IF(V202="","",VLOOKUP(V202,物品id!$A:$B,2,FALSE)&amp;",")</f>
        <v>20037,</v>
      </c>
      <c r="AS202" s="60" t="str">
        <f>IF(W202="","",VLOOKUP(W202,物品id!$A:$B,2,FALSE)&amp;",")</f>
        <v>102,</v>
      </c>
      <c r="AT202" s="60" t="str">
        <f t="shared" si="379"/>
        <v>20037,102,</v>
      </c>
      <c r="AU202" s="60" t="str">
        <f t="shared" si="380"/>
        <v>[20037,102]</v>
      </c>
      <c r="AV202" s="60" t="str">
        <f t="shared" si="384"/>
        <v>1,</v>
      </c>
      <c r="AW202" s="60" t="str">
        <f t="shared" si="385"/>
        <v>720,</v>
      </c>
      <c r="AX202" s="60" t="str">
        <f t="shared" si="381"/>
        <v>1,720,</v>
      </c>
      <c r="AY202" s="60" t="str">
        <f t="shared" si="382"/>
        <v>[1,720]</v>
      </c>
    </row>
    <row r="203" spans="1:51" s="60" customFormat="1" x14ac:dyDescent="0.2">
      <c r="A203" s="60">
        <v>4</v>
      </c>
      <c r="B203" s="60" t="s">
        <v>1132</v>
      </c>
      <c r="C203" s="60">
        <v>61</v>
      </c>
      <c r="D203" s="34" t="s">
        <v>1166</v>
      </c>
      <c r="E203" s="60" t="s">
        <v>1017</v>
      </c>
      <c r="F203" s="60">
        <v>3</v>
      </c>
      <c r="G203" s="60" t="s">
        <v>804</v>
      </c>
      <c r="H203" s="60" t="s">
        <v>806</v>
      </c>
      <c r="I203" s="60" t="s">
        <v>807</v>
      </c>
      <c r="J203" s="17">
        <v>1</v>
      </c>
      <c r="K203" s="17">
        <v>0.8</v>
      </c>
      <c r="L203" s="17">
        <v>0</v>
      </c>
      <c r="M203" s="35">
        <f>(IF(G203="",挂机玩法规划!$L$2,VLOOKUP(G203,物品id!A:D,4,FALSE)*IF(J203=0,1,4))*IF(J203=0,1,J203)+IF(H203="",挂机玩法规划!$L$2,VLOOKUP(H203,物品id!A:D,4,FALSE)*IF(K203=0,1,4))*IF(K203=0,1,K203)+IF(I203="",挂机玩法规划!$L$2,VLOOKUP(I203,物品id!A:D,4,FALSE)*IF(L203=0,1,4))*IF(L203=0,1,L203))/O203</f>
        <v>0.64375000000000004</v>
      </c>
      <c r="N203" s="44">
        <f>IF(G203="",挂机玩法规划!$L$2,VLOOKUP(G203,物品id!A:D,4,FALSE)*4)+IF(H203="",挂机玩法规划!$L$2,VLOOKUP(H203,物品id!A:D,4,FALSE)*4)+IF(I203="",挂机玩法规划!$L$2,VLOOKUP(I203,物品id!A:D,4,FALSE)*4)</f>
        <v>320</v>
      </c>
      <c r="O203" s="61">
        <v>320</v>
      </c>
      <c r="P203" s="60">
        <v>4</v>
      </c>
      <c r="Q203" s="60">
        <v>4</v>
      </c>
      <c r="R203" s="60">
        <v>4</v>
      </c>
      <c r="S203" s="60">
        <v>240</v>
      </c>
      <c r="T203" s="60" t="s">
        <v>835</v>
      </c>
      <c r="U203" s="60">
        <v>240</v>
      </c>
      <c r="V203" s="60" t="s">
        <v>841</v>
      </c>
      <c r="W203" s="60" t="s">
        <v>200</v>
      </c>
      <c r="X203" s="60">
        <v>2</v>
      </c>
      <c r="Y203" s="60">
        <f>U203*挂机玩法规划!$O$4*VLOOKUP(E203,挂机玩法规划!$G$2:$I$17,3,FALSE)</f>
        <v>1440</v>
      </c>
      <c r="Z203" s="17">
        <f t="shared" si="386"/>
        <v>1.2875000000000001</v>
      </c>
      <c r="AA203" s="17">
        <f t="shared" si="387"/>
        <v>927.00000000000011</v>
      </c>
      <c r="AB203" s="17">
        <f>(VLOOKUP(V203,物品id!A:E,5,FALSE)*挂机玩法填表!Z203+VLOOKUP(挂机玩法填表!W203,物品id!A:E,5,FALSE)*挂机玩法填表!AA203)/(U203/60)</f>
        <v>37.286000000000001</v>
      </c>
      <c r="AD203" s="60" t="str">
        <f>IF(G203="","",VLOOKUP(G203,物品id!$A:$B,2,FALSE)&amp;",")</f>
        <v>1211,</v>
      </c>
      <c r="AE203" s="60" t="str">
        <f>IF(H203="","",VLOOKUP(H203,物品id!$A:$B,2,FALSE)&amp;",")</f>
        <v>1311,</v>
      </c>
      <c r="AF203" s="60" t="str">
        <f>IF(I203="","",VLOOKUP(I203,物品id!$A:$B,2,FALSE)&amp;",")</f>
        <v>1321,</v>
      </c>
      <c r="AG203" s="60" t="str">
        <f t="shared" si="375"/>
        <v>1211,1311,1321,</v>
      </c>
      <c r="AH203" s="60" t="str">
        <f t="shared" si="376"/>
        <v>[1211,1311,1321]</v>
      </c>
      <c r="AI203" s="17" t="str">
        <f t="shared" si="388"/>
        <v>4,</v>
      </c>
      <c r="AJ203" s="17" t="str">
        <f t="shared" si="389"/>
        <v>4,</v>
      </c>
      <c r="AK203" s="17" t="str">
        <f t="shared" si="390"/>
        <v>4,</v>
      </c>
      <c r="AL203" s="60" t="str">
        <f t="shared" si="377"/>
        <v>4,4,4,</v>
      </c>
      <c r="AM203" s="60" t="str">
        <f t="shared" si="378"/>
        <v>[4,4,4]</v>
      </c>
      <c r="AN203" s="60" t="str">
        <f>VLOOKUP(T203,物品id!$A:$B,2,FALSE)&amp;","</f>
        <v>102,</v>
      </c>
      <c r="AO203" s="17" t="str">
        <f t="shared" si="391"/>
        <v>[102]</v>
      </c>
      <c r="AP203" s="60" t="str">
        <f t="shared" si="383"/>
        <v>240,</v>
      </c>
      <c r="AQ203" s="17" t="str">
        <f t="shared" si="392"/>
        <v>[240]</v>
      </c>
      <c r="AR203" s="60" t="str">
        <f>IF(V203="","",VLOOKUP(V203,物品id!$A:$B,2,FALSE)&amp;",")</f>
        <v>20037,</v>
      </c>
      <c r="AS203" s="60" t="str">
        <f>IF(W203="","",VLOOKUP(W203,物品id!$A:$B,2,FALSE)&amp;",")</f>
        <v>102,</v>
      </c>
      <c r="AT203" s="60" t="str">
        <f t="shared" si="379"/>
        <v>20037,102,</v>
      </c>
      <c r="AU203" s="60" t="str">
        <f t="shared" si="380"/>
        <v>[20037,102]</v>
      </c>
      <c r="AV203" s="60" t="str">
        <f t="shared" si="384"/>
        <v>2,</v>
      </c>
      <c r="AW203" s="60" t="str">
        <f t="shared" si="385"/>
        <v>1440,</v>
      </c>
      <c r="AX203" s="60" t="str">
        <f t="shared" si="381"/>
        <v>2,1440,</v>
      </c>
      <c r="AY203" s="60" t="str">
        <f t="shared" si="382"/>
        <v>[2,1440]</v>
      </c>
    </row>
    <row r="204" spans="1:51" s="60" customFormat="1" x14ac:dyDescent="0.2">
      <c r="A204" s="60">
        <v>4</v>
      </c>
      <c r="B204" s="60" t="s">
        <v>1132</v>
      </c>
      <c r="C204" s="60">
        <v>61</v>
      </c>
      <c r="D204" s="34" t="s">
        <v>1166</v>
      </c>
      <c r="E204" s="60" t="s">
        <v>1017</v>
      </c>
      <c r="F204" s="60">
        <v>3</v>
      </c>
      <c r="G204" s="60" t="s">
        <v>815</v>
      </c>
      <c r="H204" s="60" t="s">
        <v>817</v>
      </c>
      <c r="I204" s="60" t="s">
        <v>818</v>
      </c>
      <c r="J204" s="17">
        <v>1</v>
      </c>
      <c r="K204" s="17">
        <v>0.8</v>
      </c>
      <c r="L204" s="17">
        <v>0</v>
      </c>
      <c r="M204" s="35">
        <f>(IF(G204="",挂机玩法规划!$L$2,VLOOKUP(G204,物品id!A:D,4,FALSE)*IF(J204=0,1,4))*IF(J204=0,1,J204)+IF(H204="",挂机玩法规划!$L$2,VLOOKUP(H204,物品id!A:D,4,FALSE)*IF(K204=0,1,4))*IF(K204=0,1,K204)+IF(I204="",挂机玩法规划!$L$2,VLOOKUP(I204,物品id!A:D,4,FALSE)*IF(L204=0,1,4))*IF(L204=0,1,L204))/O204</f>
        <v>0.64375000000000004</v>
      </c>
      <c r="N204" s="44">
        <f>IF(G204="",挂机玩法规划!$L$2,VLOOKUP(G204,物品id!A:D,4,FALSE)*4)+IF(H204="",挂机玩法规划!$L$2,VLOOKUP(H204,物品id!A:D,4,FALSE)*4)+IF(I204="",挂机玩法规划!$L$2,VLOOKUP(I204,物品id!A:D,4,FALSE)*4)</f>
        <v>320</v>
      </c>
      <c r="O204" s="61">
        <v>320</v>
      </c>
      <c r="P204" s="60">
        <v>4</v>
      </c>
      <c r="Q204" s="60">
        <v>4</v>
      </c>
      <c r="R204" s="60">
        <v>4</v>
      </c>
      <c r="S204" s="60">
        <v>240</v>
      </c>
      <c r="T204" s="60" t="s">
        <v>835</v>
      </c>
      <c r="U204" s="60">
        <v>240</v>
      </c>
      <c r="V204" s="60" t="s">
        <v>841</v>
      </c>
      <c r="W204" s="60" t="s">
        <v>200</v>
      </c>
      <c r="X204" s="60">
        <v>2</v>
      </c>
      <c r="Y204" s="60">
        <f>U204*挂机玩法规划!$O$4*VLOOKUP(E204,挂机玩法规划!$G$2:$I$17,3,FALSE)</f>
        <v>1440</v>
      </c>
      <c r="Z204" s="17">
        <f t="shared" si="386"/>
        <v>1.2875000000000001</v>
      </c>
      <c r="AA204" s="17">
        <f t="shared" si="387"/>
        <v>927.00000000000011</v>
      </c>
      <c r="AB204" s="17">
        <f>(VLOOKUP(V204,物品id!A:E,5,FALSE)*挂机玩法填表!Z204+VLOOKUP(挂机玩法填表!W204,物品id!A:E,5,FALSE)*挂机玩法填表!AA204)/(U204/60)</f>
        <v>37.286000000000001</v>
      </c>
      <c r="AD204" s="60" t="str">
        <f>IF(G204="","",VLOOKUP(G204,物品id!$A:$B,2,FALSE)&amp;",")</f>
        <v>2211,</v>
      </c>
      <c r="AE204" s="60" t="str">
        <f>IF(H204="","",VLOOKUP(H204,物品id!$A:$B,2,FALSE)&amp;",")</f>
        <v>2311,</v>
      </c>
      <c r="AF204" s="60" t="str">
        <f>IF(I204="","",VLOOKUP(I204,物品id!$A:$B,2,FALSE)&amp;",")</f>
        <v>2321,</v>
      </c>
      <c r="AG204" s="60" t="str">
        <f t="shared" si="375"/>
        <v>2211,2311,2321,</v>
      </c>
      <c r="AH204" s="60" t="str">
        <f t="shared" si="376"/>
        <v>[2211,2311,2321]</v>
      </c>
      <c r="AI204" s="17" t="str">
        <f t="shared" si="388"/>
        <v>4,</v>
      </c>
      <c r="AJ204" s="17" t="str">
        <f t="shared" si="389"/>
        <v>4,</v>
      </c>
      <c r="AK204" s="17" t="str">
        <f t="shared" si="390"/>
        <v>4,</v>
      </c>
      <c r="AL204" s="60" t="str">
        <f t="shared" si="377"/>
        <v>4,4,4,</v>
      </c>
      <c r="AM204" s="60" t="str">
        <f t="shared" si="378"/>
        <v>[4,4,4]</v>
      </c>
      <c r="AN204" s="60" t="str">
        <f>VLOOKUP(T204,物品id!$A:$B,2,FALSE)&amp;","</f>
        <v>102,</v>
      </c>
      <c r="AO204" s="17" t="str">
        <f t="shared" si="391"/>
        <v>[102]</v>
      </c>
      <c r="AP204" s="60" t="str">
        <f t="shared" si="383"/>
        <v>240,</v>
      </c>
      <c r="AQ204" s="17" t="str">
        <f t="shared" si="392"/>
        <v>[240]</v>
      </c>
      <c r="AR204" s="60" t="str">
        <f>IF(V204="","",VLOOKUP(V204,物品id!$A:$B,2,FALSE)&amp;",")</f>
        <v>20037,</v>
      </c>
      <c r="AS204" s="60" t="str">
        <f>IF(W204="","",VLOOKUP(W204,物品id!$A:$B,2,FALSE)&amp;",")</f>
        <v>102,</v>
      </c>
      <c r="AT204" s="60" t="str">
        <f t="shared" si="379"/>
        <v>20037,102,</v>
      </c>
      <c r="AU204" s="60" t="str">
        <f t="shared" si="380"/>
        <v>[20037,102]</v>
      </c>
      <c r="AV204" s="60" t="str">
        <f t="shared" si="384"/>
        <v>2,</v>
      </c>
      <c r="AW204" s="60" t="str">
        <f t="shared" si="385"/>
        <v>1440,</v>
      </c>
      <c r="AX204" s="60" t="str">
        <f t="shared" si="381"/>
        <v>2,1440,</v>
      </c>
      <c r="AY204" s="60" t="str">
        <f t="shared" si="382"/>
        <v>[2,1440]</v>
      </c>
    </row>
    <row r="205" spans="1:51" s="60" customFormat="1" x14ac:dyDescent="0.2">
      <c r="A205" s="60">
        <v>4</v>
      </c>
      <c r="B205" s="60" t="s">
        <v>1132</v>
      </c>
      <c r="C205" s="60">
        <v>61</v>
      </c>
      <c r="D205" s="34" t="s">
        <v>1166</v>
      </c>
      <c r="E205" s="60" t="s">
        <v>1017</v>
      </c>
      <c r="F205" s="60">
        <v>3</v>
      </c>
      <c r="G205" s="60" t="s">
        <v>825</v>
      </c>
      <c r="H205" s="60" t="s">
        <v>827</v>
      </c>
      <c r="I205" s="60" t="s">
        <v>828</v>
      </c>
      <c r="J205" s="17">
        <v>1</v>
      </c>
      <c r="K205" s="17">
        <v>0.8</v>
      </c>
      <c r="L205" s="17">
        <v>0</v>
      </c>
      <c r="M205" s="35">
        <f>(IF(G205="",挂机玩法规划!$L$2,VLOOKUP(G205,物品id!A:D,4,FALSE)*IF(J205=0,1,4))*IF(J205=0,1,J205)+IF(H205="",挂机玩法规划!$L$2,VLOOKUP(H205,物品id!A:D,4,FALSE)*IF(K205=0,1,4))*IF(K205=0,1,K205)+IF(I205="",挂机玩法规划!$L$2,VLOOKUP(I205,物品id!A:D,4,FALSE)*IF(L205=0,1,4))*IF(L205=0,1,L205))/O205</f>
        <v>0.64375000000000004</v>
      </c>
      <c r="N205" s="44">
        <f>IF(G205="",挂机玩法规划!$L$2,VLOOKUP(G205,物品id!A:D,4,FALSE)*4)+IF(H205="",挂机玩法规划!$L$2,VLOOKUP(H205,物品id!A:D,4,FALSE)*4)+IF(I205="",挂机玩法规划!$L$2,VLOOKUP(I205,物品id!A:D,4,FALSE)*4)</f>
        <v>320</v>
      </c>
      <c r="O205" s="61">
        <v>320</v>
      </c>
      <c r="P205" s="60">
        <v>4</v>
      </c>
      <c r="Q205" s="60">
        <v>4</v>
      </c>
      <c r="R205" s="60">
        <v>4</v>
      </c>
      <c r="S205" s="60">
        <v>240</v>
      </c>
      <c r="T205" s="60" t="s">
        <v>835</v>
      </c>
      <c r="U205" s="60">
        <v>240</v>
      </c>
      <c r="V205" s="60" t="s">
        <v>841</v>
      </c>
      <c r="W205" s="60" t="s">
        <v>200</v>
      </c>
      <c r="X205" s="60">
        <v>2</v>
      </c>
      <c r="Y205" s="60">
        <f>U205*挂机玩法规划!$O$4*VLOOKUP(E205,挂机玩法规划!$G$2:$I$17,3,FALSE)</f>
        <v>1440</v>
      </c>
      <c r="Z205" s="17">
        <f t="shared" si="386"/>
        <v>1.2875000000000001</v>
      </c>
      <c r="AA205" s="17">
        <f t="shared" si="387"/>
        <v>927.00000000000011</v>
      </c>
      <c r="AB205" s="17">
        <f>(VLOOKUP(V205,物品id!A:E,5,FALSE)*挂机玩法填表!Z205+VLOOKUP(挂机玩法填表!W205,物品id!A:E,5,FALSE)*挂机玩法填表!AA205)/(U205/60)</f>
        <v>37.286000000000001</v>
      </c>
      <c r="AD205" s="60" t="str">
        <f>IF(G205="","",VLOOKUP(G205,物品id!$A:$B,2,FALSE)&amp;",")</f>
        <v>3211,</v>
      </c>
      <c r="AE205" s="60" t="str">
        <f>IF(H205="","",VLOOKUP(H205,物品id!$A:$B,2,FALSE)&amp;",")</f>
        <v>3311,</v>
      </c>
      <c r="AF205" s="60" t="str">
        <f>IF(I205="","",VLOOKUP(I205,物品id!$A:$B,2,FALSE)&amp;",")</f>
        <v>3321,</v>
      </c>
      <c r="AG205" s="60" t="str">
        <f t="shared" si="375"/>
        <v>3211,3311,3321,</v>
      </c>
      <c r="AH205" s="60" t="str">
        <f t="shared" si="376"/>
        <v>[3211,3311,3321]</v>
      </c>
      <c r="AI205" s="17" t="str">
        <f t="shared" si="388"/>
        <v>4,</v>
      </c>
      <c r="AJ205" s="17" t="str">
        <f t="shared" si="389"/>
        <v>4,</v>
      </c>
      <c r="AK205" s="17" t="str">
        <f t="shared" si="390"/>
        <v>4,</v>
      </c>
      <c r="AL205" s="60" t="str">
        <f t="shared" si="377"/>
        <v>4,4,4,</v>
      </c>
      <c r="AM205" s="60" t="str">
        <f t="shared" si="378"/>
        <v>[4,4,4]</v>
      </c>
      <c r="AN205" s="60" t="str">
        <f>VLOOKUP(T205,物品id!$A:$B,2,FALSE)&amp;","</f>
        <v>102,</v>
      </c>
      <c r="AO205" s="17" t="str">
        <f t="shared" si="391"/>
        <v>[102]</v>
      </c>
      <c r="AP205" s="60" t="str">
        <f t="shared" si="383"/>
        <v>240,</v>
      </c>
      <c r="AQ205" s="17" t="str">
        <f t="shared" si="392"/>
        <v>[240]</v>
      </c>
      <c r="AR205" s="60" t="str">
        <f>IF(V205="","",VLOOKUP(V205,物品id!$A:$B,2,FALSE)&amp;",")</f>
        <v>20037,</v>
      </c>
      <c r="AS205" s="60" t="str">
        <f>IF(W205="","",VLOOKUP(W205,物品id!$A:$B,2,FALSE)&amp;",")</f>
        <v>102,</v>
      </c>
      <c r="AT205" s="60" t="str">
        <f t="shared" si="379"/>
        <v>20037,102,</v>
      </c>
      <c r="AU205" s="60" t="str">
        <f t="shared" si="380"/>
        <v>[20037,102]</v>
      </c>
      <c r="AV205" s="60" t="str">
        <f t="shared" si="384"/>
        <v>2,</v>
      </c>
      <c r="AW205" s="60" t="str">
        <f t="shared" si="385"/>
        <v>1440,</v>
      </c>
      <c r="AX205" s="60" t="str">
        <f t="shared" si="381"/>
        <v>2,1440,</v>
      </c>
      <c r="AY205" s="60" t="str">
        <f t="shared" si="382"/>
        <v>[2,1440]</v>
      </c>
    </row>
    <row r="206" spans="1:51" s="60" customFormat="1" x14ac:dyDescent="0.2">
      <c r="A206" s="60">
        <v>4</v>
      </c>
      <c r="B206" s="60" t="s">
        <v>1132</v>
      </c>
      <c r="C206" s="60">
        <v>61</v>
      </c>
      <c r="D206" s="34" t="s">
        <v>1166</v>
      </c>
      <c r="E206" s="60" t="s">
        <v>1017</v>
      </c>
      <c r="F206" s="60">
        <v>3</v>
      </c>
      <c r="G206" s="60" t="s">
        <v>804</v>
      </c>
      <c r="H206" s="60" t="s">
        <v>806</v>
      </c>
      <c r="I206" s="60" t="s">
        <v>807</v>
      </c>
      <c r="J206" s="17">
        <v>1</v>
      </c>
      <c r="K206" s="17">
        <v>0.8</v>
      </c>
      <c r="L206" s="17">
        <v>0</v>
      </c>
      <c r="M206" s="35">
        <f>(IF(G206="",挂机玩法规划!$L$2,VLOOKUP(G206,物品id!A:D,4,FALSE)*IF(J206=0,1,4))*IF(J206=0,1,J206)+IF(H206="",挂机玩法规划!$L$2,VLOOKUP(H206,物品id!A:D,4,FALSE)*IF(K206=0,1,4))*IF(K206=0,1,K206)+IF(I206="",挂机玩法规划!$L$2,VLOOKUP(I206,物品id!A:D,4,FALSE)*IF(L206=0,1,4))*IF(L206=0,1,L206))/O206</f>
        <v>0.64375000000000004</v>
      </c>
      <c r="N206" s="44">
        <f>IF(G206="",挂机玩法规划!$L$2,VLOOKUP(G206,物品id!A:D,4,FALSE)*4)+IF(H206="",挂机玩法规划!$L$2,VLOOKUP(H206,物品id!A:D,4,FALSE)*4)+IF(I206="",挂机玩法规划!$L$2,VLOOKUP(I206,物品id!A:D,4,FALSE)*4)</f>
        <v>320</v>
      </c>
      <c r="O206" s="61">
        <v>320</v>
      </c>
      <c r="P206" s="60">
        <v>4</v>
      </c>
      <c r="Q206" s="60">
        <v>4</v>
      </c>
      <c r="R206" s="60">
        <v>4</v>
      </c>
      <c r="S206" s="60">
        <v>480</v>
      </c>
      <c r="T206" s="60" t="s">
        <v>835</v>
      </c>
      <c r="U206" s="60">
        <v>480</v>
      </c>
      <c r="V206" s="60" t="s">
        <v>841</v>
      </c>
      <c r="W206" s="60" t="s">
        <v>200</v>
      </c>
      <c r="X206" s="60">
        <v>3</v>
      </c>
      <c r="Y206" s="60">
        <f>U206*挂机玩法规划!$O$4*VLOOKUP(E206,挂机玩法规划!$G$2:$I$17,3,FALSE)</f>
        <v>2880</v>
      </c>
      <c r="Z206" s="17">
        <f t="shared" si="386"/>
        <v>1.9312500000000001</v>
      </c>
      <c r="AA206" s="17">
        <f t="shared" si="387"/>
        <v>1854.0000000000002</v>
      </c>
      <c r="AB206" s="17">
        <f>(VLOOKUP(V206,物品id!A:E,5,FALSE)*挂机玩法填表!Z206+VLOOKUP(挂机玩法填表!W206,物品id!A:E,5,FALSE)*挂机玩法填表!AA206)/(U206/60)</f>
        <v>29.239125000000001</v>
      </c>
      <c r="AD206" s="60" t="str">
        <f>IF(G206="","",VLOOKUP(G206,物品id!$A:$B,2,FALSE)&amp;",")</f>
        <v>1211,</v>
      </c>
      <c r="AE206" s="60" t="str">
        <f>IF(H206="","",VLOOKUP(H206,物品id!$A:$B,2,FALSE)&amp;",")</f>
        <v>1311,</v>
      </c>
      <c r="AF206" s="60" t="str">
        <f>IF(I206="","",VLOOKUP(I206,物品id!$A:$B,2,FALSE)&amp;",")</f>
        <v>1321,</v>
      </c>
      <c r="AG206" s="60" t="str">
        <f t="shared" si="375"/>
        <v>1211,1311,1321,</v>
      </c>
      <c r="AH206" s="60" t="str">
        <f t="shared" si="376"/>
        <v>[1211,1311,1321]</v>
      </c>
      <c r="AI206" s="17" t="str">
        <f t="shared" si="388"/>
        <v>4,</v>
      </c>
      <c r="AJ206" s="17" t="str">
        <f t="shared" si="389"/>
        <v>4,</v>
      </c>
      <c r="AK206" s="17" t="str">
        <f t="shared" si="390"/>
        <v>4,</v>
      </c>
      <c r="AL206" s="60" t="str">
        <f t="shared" si="377"/>
        <v>4,4,4,</v>
      </c>
      <c r="AM206" s="60" t="str">
        <f t="shared" si="378"/>
        <v>[4,4,4]</v>
      </c>
      <c r="AN206" s="60" t="str">
        <f>VLOOKUP(T206,物品id!$A:$B,2,FALSE)&amp;","</f>
        <v>102,</v>
      </c>
      <c r="AO206" s="17" t="str">
        <f t="shared" si="391"/>
        <v>[102]</v>
      </c>
      <c r="AP206" s="60" t="str">
        <f t="shared" si="383"/>
        <v>480,</v>
      </c>
      <c r="AQ206" s="17" t="str">
        <f t="shared" si="392"/>
        <v>[480]</v>
      </c>
      <c r="AR206" s="60" t="str">
        <f>IF(V206="","",VLOOKUP(V206,物品id!$A:$B,2,FALSE)&amp;",")</f>
        <v>20037,</v>
      </c>
      <c r="AS206" s="60" t="str">
        <f>IF(W206="","",VLOOKUP(W206,物品id!$A:$B,2,FALSE)&amp;",")</f>
        <v>102,</v>
      </c>
      <c r="AT206" s="60" t="str">
        <f t="shared" si="379"/>
        <v>20037,102,</v>
      </c>
      <c r="AU206" s="60" t="str">
        <f t="shared" si="380"/>
        <v>[20037,102]</v>
      </c>
      <c r="AV206" s="60" t="str">
        <f t="shared" si="384"/>
        <v>3,</v>
      </c>
      <c r="AW206" s="60" t="str">
        <f t="shared" si="385"/>
        <v>2880,</v>
      </c>
      <c r="AX206" s="60" t="str">
        <f t="shared" si="381"/>
        <v>3,2880,</v>
      </c>
      <c r="AY206" s="60" t="str">
        <f t="shared" si="382"/>
        <v>[3,2880]</v>
      </c>
    </row>
    <row r="207" spans="1:51" s="60" customFormat="1" x14ac:dyDescent="0.2">
      <c r="A207" s="60">
        <v>4</v>
      </c>
      <c r="B207" s="60" t="s">
        <v>1132</v>
      </c>
      <c r="C207" s="60">
        <v>61</v>
      </c>
      <c r="D207" s="34" t="s">
        <v>1166</v>
      </c>
      <c r="E207" s="60" t="s">
        <v>1017</v>
      </c>
      <c r="F207" s="60">
        <v>3</v>
      </c>
      <c r="G207" s="60" t="s">
        <v>815</v>
      </c>
      <c r="H207" s="60" t="s">
        <v>817</v>
      </c>
      <c r="I207" s="60" t="s">
        <v>818</v>
      </c>
      <c r="J207" s="17">
        <v>1</v>
      </c>
      <c r="K207" s="17">
        <v>0.8</v>
      </c>
      <c r="L207" s="17">
        <v>0</v>
      </c>
      <c r="M207" s="35">
        <f>(IF(G207="",挂机玩法规划!$L$2,VLOOKUP(G207,物品id!A:D,4,FALSE)*IF(J207=0,1,4))*IF(J207=0,1,J207)+IF(H207="",挂机玩法规划!$L$2,VLOOKUP(H207,物品id!A:D,4,FALSE)*IF(K207=0,1,4))*IF(K207=0,1,K207)+IF(I207="",挂机玩法规划!$L$2,VLOOKUP(I207,物品id!A:D,4,FALSE)*IF(L207=0,1,4))*IF(L207=0,1,L207))/O207</f>
        <v>0.64375000000000004</v>
      </c>
      <c r="N207" s="44">
        <f>IF(G207="",挂机玩法规划!$L$2,VLOOKUP(G207,物品id!A:D,4,FALSE)*4)+IF(H207="",挂机玩法规划!$L$2,VLOOKUP(H207,物品id!A:D,4,FALSE)*4)+IF(I207="",挂机玩法规划!$L$2,VLOOKUP(I207,物品id!A:D,4,FALSE)*4)</f>
        <v>320</v>
      </c>
      <c r="O207" s="61">
        <v>320</v>
      </c>
      <c r="P207" s="60">
        <v>4</v>
      </c>
      <c r="Q207" s="60">
        <v>4</v>
      </c>
      <c r="R207" s="60">
        <v>4</v>
      </c>
      <c r="S207" s="60">
        <v>480</v>
      </c>
      <c r="T207" s="60" t="s">
        <v>835</v>
      </c>
      <c r="U207" s="60">
        <v>480</v>
      </c>
      <c r="V207" s="60" t="s">
        <v>841</v>
      </c>
      <c r="W207" s="60" t="s">
        <v>200</v>
      </c>
      <c r="X207" s="60">
        <v>3</v>
      </c>
      <c r="Y207" s="60">
        <f>U207*挂机玩法规划!$O$4*VLOOKUP(E207,挂机玩法规划!$G$2:$I$17,3,FALSE)</f>
        <v>2880</v>
      </c>
      <c r="Z207" s="17">
        <f t="shared" si="386"/>
        <v>1.9312500000000001</v>
      </c>
      <c r="AA207" s="17">
        <f t="shared" si="387"/>
        <v>1854.0000000000002</v>
      </c>
      <c r="AB207" s="17">
        <f>(VLOOKUP(V207,物品id!A:E,5,FALSE)*挂机玩法填表!Z207+VLOOKUP(挂机玩法填表!W207,物品id!A:E,5,FALSE)*挂机玩法填表!AA207)/(U207/60)</f>
        <v>29.239125000000001</v>
      </c>
      <c r="AD207" s="60" t="str">
        <f>IF(G207="","",VLOOKUP(G207,物品id!$A:$B,2,FALSE)&amp;",")</f>
        <v>2211,</v>
      </c>
      <c r="AE207" s="60" t="str">
        <f>IF(H207="","",VLOOKUP(H207,物品id!$A:$B,2,FALSE)&amp;",")</f>
        <v>2311,</v>
      </c>
      <c r="AF207" s="60" t="str">
        <f>IF(I207="","",VLOOKUP(I207,物品id!$A:$B,2,FALSE)&amp;",")</f>
        <v>2321,</v>
      </c>
      <c r="AG207" s="60" t="str">
        <f t="shared" si="375"/>
        <v>2211,2311,2321,</v>
      </c>
      <c r="AH207" s="60" t="str">
        <f t="shared" si="376"/>
        <v>[2211,2311,2321]</v>
      </c>
      <c r="AI207" s="17" t="str">
        <f t="shared" si="388"/>
        <v>4,</v>
      </c>
      <c r="AJ207" s="17" t="str">
        <f t="shared" si="389"/>
        <v>4,</v>
      </c>
      <c r="AK207" s="17" t="str">
        <f t="shared" si="390"/>
        <v>4,</v>
      </c>
      <c r="AL207" s="60" t="str">
        <f t="shared" si="377"/>
        <v>4,4,4,</v>
      </c>
      <c r="AM207" s="60" t="str">
        <f t="shared" si="378"/>
        <v>[4,4,4]</v>
      </c>
      <c r="AN207" s="60" t="str">
        <f>VLOOKUP(T207,物品id!$A:$B,2,FALSE)&amp;","</f>
        <v>102,</v>
      </c>
      <c r="AO207" s="17" t="str">
        <f t="shared" si="391"/>
        <v>[102]</v>
      </c>
      <c r="AP207" s="60" t="str">
        <f t="shared" si="383"/>
        <v>480,</v>
      </c>
      <c r="AQ207" s="17" t="str">
        <f t="shared" si="392"/>
        <v>[480]</v>
      </c>
      <c r="AR207" s="60" t="str">
        <f>IF(V207="","",VLOOKUP(V207,物品id!$A:$B,2,FALSE)&amp;",")</f>
        <v>20037,</v>
      </c>
      <c r="AS207" s="60" t="str">
        <f>IF(W207="","",VLOOKUP(W207,物品id!$A:$B,2,FALSE)&amp;",")</f>
        <v>102,</v>
      </c>
      <c r="AT207" s="60" t="str">
        <f t="shared" si="379"/>
        <v>20037,102,</v>
      </c>
      <c r="AU207" s="60" t="str">
        <f t="shared" si="380"/>
        <v>[20037,102]</v>
      </c>
      <c r="AV207" s="60" t="str">
        <f t="shared" si="384"/>
        <v>3,</v>
      </c>
      <c r="AW207" s="60" t="str">
        <f t="shared" si="385"/>
        <v>2880,</v>
      </c>
      <c r="AX207" s="60" t="str">
        <f t="shared" si="381"/>
        <v>3,2880,</v>
      </c>
      <c r="AY207" s="60" t="str">
        <f t="shared" si="382"/>
        <v>[3,2880]</v>
      </c>
    </row>
    <row r="208" spans="1:51" s="60" customFormat="1" x14ac:dyDescent="0.2">
      <c r="A208" s="60">
        <v>4</v>
      </c>
      <c r="B208" s="60" t="s">
        <v>1132</v>
      </c>
      <c r="C208" s="60">
        <v>61</v>
      </c>
      <c r="D208" s="34" t="s">
        <v>1166</v>
      </c>
      <c r="E208" s="60" t="s">
        <v>1017</v>
      </c>
      <c r="F208" s="60">
        <v>3</v>
      </c>
      <c r="G208" s="60" t="s">
        <v>825</v>
      </c>
      <c r="H208" s="60" t="s">
        <v>827</v>
      </c>
      <c r="I208" s="60" t="s">
        <v>828</v>
      </c>
      <c r="J208" s="17">
        <v>1</v>
      </c>
      <c r="K208" s="17">
        <v>0.8</v>
      </c>
      <c r="L208" s="17">
        <v>0</v>
      </c>
      <c r="M208" s="35">
        <f>(IF(G208="",挂机玩法规划!$L$2,VLOOKUP(G208,物品id!A:D,4,FALSE)*IF(J208=0,1,4))*IF(J208=0,1,J208)+IF(H208="",挂机玩法规划!$L$2,VLOOKUP(H208,物品id!A:D,4,FALSE)*IF(K208=0,1,4))*IF(K208=0,1,K208)+IF(I208="",挂机玩法规划!$L$2,VLOOKUP(I208,物品id!A:D,4,FALSE)*IF(L208=0,1,4))*IF(L208=0,1,L208))/O208</f>
        <v>0.64375000000000004</v>
      </c>
      <c r="N208" s="44">
        <f>IF(G208="",挂机玩法规划!$L$2,VLOOKUP(G208,物品id!A:D,4,FALSE)*4)+IF(H208="",挂机玩法规划!$L$2,VLOOKUP(H208,物品id!A:D,4,FALSE)*4)+IF(I208="",挂机玩法规划!$L$2,VLOOKUP(I208,物品id!A:D,4,FALSE)*4)</f>
        <v>320</v>
      </c>
      <c r="O208" s="61">
        <v>320</v>
      </c>
      <c r="P208" s="60">
        <v>4</v>
      </c>
      <c r="Q208" s="60">
        <v>4</v>
      </c>
      <c r="R208" s="60">
        <v>4</v>
      </c>
      <c r="S208" s="60">
        <v>480</v>
      </c>
      <c r="T208" s="60" t="s">
        <v>835</v>
      </c>
      <c r="U208" s="60">
        <v>480</v>
      </c>
      <c r="V208" s="60" t="s">
        <v>841</v>
      </c>
      <c r="W208" s="60" t="s">
        <v>200</v>
      </c>
      <c r="X208" s="60">
        <v>3</v>
      </c>
      <c r="Y208" s="60">
        <f>U208*挂机玩法规划!$O$4*VLOOKUP(E208,挂机玩法规划!$G$2:$I$17,3,FALSE)</f>
        <v>2880</v>
      </c>
      <c r="Z208" s="17">
        <f t="shared" si="386"/>
        <v>1.9312500000000001</v>
      </c>
      <c r="AA208" s="17">
        <f t="shared" si="387"/>
        <v>1854.0000000000002</v>
      </c>
      <c r="AB208" s="17">
        <f>(VLOOKUP(V208,物品id!A:E,5,FALSE)*挂机玩法填表!Z208+VLOOKUP(挂机玩法填表!W208,物品id!A:E,5,FALSE)*挂机玩法填表!AA208)/(U208/60)</f>
        <v>29.239125000000001</v>
      </c>
      <c r="AD208" s="60" t="str">
        <f>IF(G208="","",VLOOKUP(G208,物品id!$A:$B,2,FALSE)&amp;",")</f>
        <v>3211,</v>
      </c>
      <c r="AE208" s="60" t="str">
        <f>IF(H208="","",VLOOKUP(H208,物品id!$A:$B,2,FALSE)&amp;",")</f>
        <v>3311,</v>
      </c>
      <c r="AF208" s="60" t="str">
        <f>IF(I208="","",VLOOKUP(I208,物品id!$A:$B,2,FALSE)&amp;",")</f>
        <v>3321,</v>
      </c>
      <c r="AG208" s="60" t="str">
        <f t="shared" si="375"/>
        <v>3211,3311,3321,</v>
      </c>
      <c r="AH208" s="60" t="str">
        <f t="shared" si="376"/>
        <v>[3211,3311,3321]</v>
      </c>
      <c r="AI208" s="17" t="str">
        <f t="shared" si="388"/>
        <v>4,</v>
      </c>
      <c r="AJ208" s="17" t="str">
        <f t="shared" si="389"/>
        <v>4,</v>
      </c>
      <c r="AK208" s="17" t="str">
        <f t="shared" si="390"/>
        <v>4,</v>
      </c>
      <c r="AL208" s="60" t="str">
        <f t="shared" si="377"/>
        <v>4,4,4,</v>
      </c>
      <c r="AM208" s="60" t="str">
        <f t="shared" si="378"/>
        <v>[4,4,4]</v>
      </c>
      <c r="AN208" s="60" t="str">
        <f>VLOOKUP(T208,物品id!$A:$B,2,FALSE)&amp;","</f>
        <v>102,</v>
      </c>
      <c r="AO208" s="17" t="str">
        <f t="shared" si="391"/>
        <v>[102]</v>
      </c>
      <c r="AP208" s="60" t="str">
        <f t="shared" si="383"/>
        <v>480,</v>
      </c>
      <c r="AQ208" s="17" t="str">
        <f t="shared" si="392"/>
        <v>[480]</v>
      </c>
      <c r="AR208" s="60" t="str">
        <f>IF(V208="","",VLOOKUP(V208,物品id!$A:$B,2,FALSE)&amp;",")</f>
        <v>20037,</v>
      </c>
      <c r="AS208" s="60" t="str">
        <f>IF(W208="","",VLOOKUP(W208,物品id!$A:$B,2,FALSE)&amp;",")</f>
        <v>102,</v>
      </c>
      <c r="AT208" s="60" t="str">
        <f t="shared" si="379"/>
        <v>20037,102,</v>
      </c>
      <c r="AU208" s="60" t="str">
        <f t="shared" si="380"/>
        <v>[20037,102]</v>
      </c>
      <c r="AV208" s="60" t="str">
        <f t="shared" si="384"/>
        <v>3,</v>
      </c>
      <c r="AW208" s="60" t="str">
        <f t="shared" si="385"/>
        <v>2880,</v>
      </c>
      <c r="AX208" s="60" t="str">
        <f t="shared" si="381"/>
        <v>3,2880,</v>
      </c>
      <c r="AY208" s="60" t="str">
        <f t="shared" si="382"/>
        <v>[3,2880]</v>
      </c>
    </row>
    <row r="209" spans="1:51" s="60" customFormat="1" x14ac:dyDescent="0.2">
      <c r="A209" s="60">
        <v>4</v>
      </c>
      <c r="B209" s="60" t="s">
        <v>1132</v>
      </c>
      <c r="C209" s="60">
        <v>61</v>
      </c>
      <c r="D209" s="34" t="s">
        <v>1166</v>
      </c>
      <c r="E209" s="60" t="s">
        <v>1017</v>
      </c>
      <c r="F209" s="60">
        <v>3</v>
      </c>
      <c r="G209" s="60" t="s">
        <v>804</v>
      </c>
      <c r="H209" s="60" t="s">
        <v>806</v>
      </c>
      <c r="I209" s="60" t="s">
        <v>807</v>
      </c>
      <c r="J209" s="17">
        <v>1</v>
      </c>
      <c r="K209" s="17">
        <v>0.8</v>
      </c>
      <c r="L209" s="17">
        <v>0</v>
      </c>
      <c r="M209" s="35">
        <f>(IF(G209="",挂机玩法规划!$L$2,VLOOKUP(G209,物品id!A:D,4,FALSE)*IF(J209=0,1,4))*IF(J209=0,1,J209)+IF(H209="",挂机玩法规划!$L$2,VLOOKUP(H209,物品id!A:D,4,FALSE)*IF(K209=0,1,4))*IF(K209=0,1,K209)+IF(I209="",挂机玩法规划!$L$2,VLOOKUP(I209,物品id!A:D,4,FALSE)*IF(L209=0,1,4))*IF(L209=0,1,L209))/O209</f>
        <v>0.64375000000000004</v>
      </c>
      <c r="N209" s="44">
        <f>IF(G209="",挂机玩法规划!$L$2,VLOOKUP(G209,物品id!A:D,4,FALSE)*4)+IF(H209="",挂机玩法规划!$L$2,VLOOKUP(H209,物品id!A:D,4,FALSE)*4)+IF(I209="",挂机玩法规划!$L$2,VLOOKUP(I209,物品id!A:D,4,FALSE)*4)</f>
        <v>320</v>
      </c>
      <c r="O209" s="61">
        <v>320</v>
      </c>
      <c r="P209" s="60">
        <v>4</v>
      </c>
      <c r="Q209" s="60">
        <v>4</v>
      </c>
      <c r="R209" s="60">
        <v>4</v>
      </c>
      <c r="S209" s="60">
        <v>720</v>
      </c>
      <c r="T209" s="60" t="s">
        <v>835</v>
      </c>
      <c r="U209" s="60">
        <v>720</v>
      </c>
      <c r="V209" s="60" t="s">
        <v>841</v>
      </c>
      <c r="W209" s="60" t="s">
        <v>200</v>
      </c>
      <c r="X209" s="60">
        <v>4</v>
      </c>
      <c r="Y209" s="60">
        <f>U209*挂机玩法规划!$O$4*VLOOKUP(E209,挂机玩法规划!$G$2:$I$17,3,FALSE)</f>
        <v>4320</v>
      </c>
      <c r="Z209" s="17">
        <f t="shared" si="386"/>
        <v>2.5750000000000002</v>
      </c>
      <c r="AA209" s="17">
        <f t="shared" si="387"/>
        <v>2781</v>
      </c>
      <c r="AB209" s="17">
        <f>(VLOOKUP(V209,物品id!A:E,5,FALSE)*挂机玩法填表!Z209+VLOOKUP(挂机玩法填表!W209,物品id!A:E,5,FALSE)*挂机玩法填表!AA209)/(U209/60)</f>
        <v>26.556833333333334</v>
      </c>
      <c r="AD209" s="60" t="str">
        <f>IF(G209="","",VLOOKUP(G209,物品id!$A:$B,2,FALSE)&amp;",")</f>
        <v>1211,</v>
      </c>
      <c r="AE209" s="60" t="str">
        <f>IF(H209="","",VLOOKUP(H209,物品id!$A:$B,2,FALSE)&amp;",")</f>
        <v>1311,</v>
      </c>
      <c r="AF209" s="60" t="str">
        <f>IF(I209="","",VLOOKUP(I209,物品id!$A:$B,2,FALSE)&amp;",")</f>
        <v>1321,</v>
      </c>
      <c r="AG209" s="60" t="str">
        <f t="shared" si="375"/>
        <v>1211,1311,1321,</v>
      </c>
      <c r="AH209" s="60" t="str">
        <f t="shared" si="376"/>
        <v>[1211,1311,1321]</v>
      </c>
      <c r="AI209" s="17" t="str">
        <f t="shared" si="388"/>
        <v>4,</v>
      </c>
      <c r="AJ209" s="17" t="str">
        <f t="shared" si="389"/>
        <v>4,</v>
      </c>
      <c r="AK209" s="17" t="str">
        <f t="shared" si="390"/>
        <v>4,</v>
      </c>
      <c r="AL209" s="60" t="str">
        <f t="shared" si="377"/>
        <v>4,4,4,</v>
      </c>
      <c r="AM209" s="60" t="str">
        <f t="shared" si="378"/>
        <v>[4,4,4]</v>
      </c>
      <c r="AN209" s="60" t="str">
        <f>VLOOKUP(T209,物品id!$A:$B,2,FALSE)&amp;","</f>
        <v>102,</v>
      </c>
      <c r="AO209" s="17" t="str">
        <f t="shared" si="391"/>
        <v>[102]</v>
      </c>
      <c r="AP209" s="60" t="str">
        <f t="shared" si="383"/>
        <v>720,</v>
      </c>
      <c r="AQ209" s="17" t="str">
        <f t="shared" si="392"/>
        <v>[720]</v>
      </c>
      <c r="AR209" s="60" t="str">
        <f>IF(V209="","",VLOOKUP(V209,物品id!$A:$B,2,FALSE)&amp;",")</f>
        <v>20037,</v>
      </c>
      <c r="AS209" s="60" t="str">
        <f>IF(W209="","",VLOOKUP(W209,物品id!$A:$B,2,FALSE)&amp;",")</f>
        <v>102,</v>
      </c>
      <c r="AT209" s="60" t="str">
        <f t="shared" si="379"/>
        <v>20037,102,</v>
      </c>
      <c r="AU209" s="60" t="str">
        <f t="shared" si="380"/>
        <v>[20037,102]</v>
      </c>
      <c r="AV209" s="60" t="str">
        <f t="shared" si="384"/>
        <v>4,</v>
      </c>
      <c r="AW209" s="60" t="str">
        <f t="shared" si="385"/>
        <v>4320,</v>
      </c>
      <c r="AX209" s="60" t="str">
        <f t="shared" si="381"/>
        <v>4,4320,</v>
      </c>
      <c r="AY209" s="60" t="str">
        <f t="shared" si="382"/>
        <v>[4,4320]</v>
      </c>
    </row>
    <row r="210" spans="1:51" s="60" customFormat="1" x14ac:dyDescent="0.2">
      <c r="A210" s="60">
        <v>4</v>
      </c>
      <c r="B210" s="60" t="s">
        <v>1132</v>
      </c>
      <c r="C210" s="60">
        <v>61</v>
      </c>
      <c r="D210" s="34" t="s">
        <v>1166</v>
      </c>
      <c r="E210" s="60" t="s">
        <v>1017</v>
      </c>
      <c r="F210" s="60">
        <v>3</v>
      </c>
      <c r="G210" s="60" t="s">
        <v>815</v>
      </c>
      <c r="H210" s="60" t="s">
        <v>817</v>
      </c>
      <c r="I210" s="60" t="s">
        <v>818</v>
      </c>
      <c r="J210" s="17">
        <v>1</v>
      </c>
      <c r="K210" s="17">
        <v>0.8</v>
      </c>
      <c r="L210" s="17">
        <v>0</v>
      </c>
      <c r="M210" s="35">
        <f>(IF(G210="",挂机玩法规划!$L$2,VLOOKUP(G210,物品id!A:D,4,FALSE)*IF(J210=0,1,4))*IF(J210=0,1,J210)+IF(H210="",挂机玩法规划!$L$2,VLOOKUP(H210,物品id!A:D,4,FALSE)*IF(K210=0,1,4))*IF(K210=0,1,K210)+IF(I210="",挂机玩法规划!$L$2,VLOOKUP(I210,物品id!A:D,4,FALSE)*IF(L210=0,1,4))*IF(L210=0,1,L210))/O210</f>
        <v>0.64375000000000004</v>
      </c>
      <c r="N210" s="44">
        <f>IF(G210="",挂机玩法规划!$L$2,VLOOKUP(G210,物品id!A:D,4,FALSE)*4)+IF(H210="",挂机玩法规划!$L$2,VLOOKUP(H210,物品id!A:D,4,FALSE)*4)+IF(I210="",挂机玩法规划!$L$2,VLOOKUP(I210,物品id!A:D,4,FALSE)*4)</f>
        <v>320</v>
      </c>
      <c r="O210" s="61">
        <v>320</v>
      </c>
      <c r="P210" s="60">
        <v>4</v>
      </c>
      <c r="Q210" s="60">
        <v>4</v>
      </c>
      <c r="R210" s="60">
        <v>4</v>
      </c>
      <c r="S210" s="60">
        <v>720</v>
      </c>
      <c r="T210" s="60" t="s">
        <v>835</v>
      </c>
      <c r="U210" s="60">
        <v>720</v>
      </c>
      <c r="V210" s="60" t="s">
        <v>841</v>
      </c>
      <c r="W210" s="60" t="s">
        <v>200</v>
      </c>
      <c r="X210" s="60">
        <v>4</v>
      </c>
      <c r="Y210" s="60">
        <f>U210*挂机玩法规划!$O$4*VLOOKUP(E210,挂机玩法规划!$G$2:$I$17,3,FALSE)</f>
        <v>4320</v>
      </c>
      <c r="Z210" s="17">
        <f t="shared" si="386"/>
        <v>2.5750000000000002</v>
      </c>
      <c r="AA210" s="17">
        <f t="shared" si="387"/>
        <v>2781</v>
      </c>
      <c r="AB210" s="17">
        <f>(VLOOKUP(V210,物品id!A:E,5,FALSE)*挂机玩法填表!Z210+VLOOKUP(挂机玩法填表!W210,物品id!A:E,5,FALSE)*挂机玩法填表!AA210)/(U210/60)</f>
        <v>26.556833333333334</v>
      </c>
      <c r="AD210" s="60" t="str">
        <f>IF(G210="","",VLOOKUP(G210,物品id!$A:$B,2,FALSE)&amp;",")</f>
        <v>2211,</v>
      </c>
      <c r="AE210" s="60" t="str">
        <f>IF(H210="","",VLOOKUP(H210,物品id!$A:$B,2,FALSE)&amp;",")</f>
        <v>2311,</v>
      </c>
      <c r="AF210" s="60" t="str">
        <f>IF(I210="","",VLOOKUP(I210,物品id!$A:$B,2,FALSE)&amp;",")</f>
        <v>2321,</v>
      </c>
      <c r="AG210" s="60" t="str">
        <f t="shared" si="375"/>
        <v>2211,2311,2321,</v>
      </c>
      <c r="AH210" s="60" t="str">
        <f t="shared" si="376"/>
        <v>[2211,2311,2321]</v>
      </c>
      <c r="AI210" s="17" t="str">
        <f t="shared" si="388"/>
        <v>4,</v>
      </c>
      <c r="AJ210" s="17" t="str">
        <f t="shared" si="389"/>
        <v>4,</v>
      </c>
      <c r="AK210" s="17" t="str">
        <f t="shared" si="390"/>
        <v>4,</v>
      </c>
      <c r="AL210" s="60" t="str">
        <f t="shared" si="377"/>
        <v>4,4,4,</v>
      </c>
      <c r="AM210" s="60" t="str">
        <f t="shared" si="378"/>
        <v>[4,4,4]</v>
      </c>
      <c r="AN210" s="60" t="str">
        <f>VLOOKUP(T210,物品id!$A:$B,2,FALSE)&amp;","</f>
        <v>102,</v>
      </c>
      <c r="AO210" s="17" t="str">
        <f t="shared" si="391"/>
        <v>[102]</v>
      </c>
      <c r="AP210" s="60" t="str">
        <f t="shared" si="383"/>
        <v>720,</v>
      </c>
      <c r="AQ210" s="17" t="str">
        <f t="shared" si="392"/>
        <v>[720]</v>
      </c>
      <c r="AR210" s="60" t="str">
        <f>IF(V210="","",VLOOKUP(V210,物品id!$A:$B,2,FALSE)&amp;",")</f>
        <v>20037,</v>
      </c>
      <c r="AS210" s="60" t="str">
        <f>IF(W210="","",VLOOKUP(W210,物品id!$A:$B,2,FALSE)&amp;",")</f>
        <v>102,</v>
      </c>
      <c r="AT210" s="60" t="str">
        <f t="shared" si="379"/>
        <v>20037,102,</v>
      </c>
      <c r="AU210" s="60" t="str">
        <f t="shared" si="380"/>
        <v>[20037,102]</v>
      </c>
      <c r="AV210" s="60" t="str">
        <f t="shared" si="384"/>
        <v>4,</v>
      </c>
      <c r="AW210" s="60" t="str">
        <f t="shared" si="385"/>
        <v>4320,</v>
      </c>
      <c r="AX210" s="60" t="str">
        <f t="shared" si="381"/>
        <v>4,4320,</v>
      </c>
      <c r="AY210" s="60" t="str">
        <f t="shared" si="382"/>
        <v>[4,4320]</v>
      </c>
    </row>
    <row r="211" spans="1:51" s="60" customFormat="1" x14ac:dyDescent="0.2">
      <c r="A211" s="60">
        <v>4</v>
      </c>
      <c r="B211" s="60" t="s">
        <v>1132</v>
      </c>
      <c r="C211" s="60">
        <v>61</v>
      </c>
      <c r="D211" s="34" t="s">
        <v>1166</v>
      </c>
      <c r="E211" s="60" t="s">
        <v>1017</v>
      </c>
      <c r="F211" s="60">
        <v>3</v>
      </c>
      <c r="G211" s="60" t="s">
        <v>825</v>
      </c>
      <c r="H211" s="60" t="s">
        <v>827</v>
      </c>
      <c r="I211" s="60" t="s">
        <v>828</v>
      </c>
      <c r="J211" s="17">
        <v>1</v>
      </c>
      <c r="K211" s="17">
        <v>0.8</v>
      </c>
      <c r="L211" s="17">
        <v>0</v>
      </c>
      <c r="M211" s="35">
        <f>(IF(G211="",挂机玩法规划!$L$2,VLOOKUP(G211,物品id!A:D,4,FALSE)*IF(J211=0,1,4))*IF(J211=0,1,J211)+IF(H211="",挂机玩法规划!$L$2,VLOOKUP(H211,物品id!A:D,4,FALSE)*IF(K211=0,1,4))*IF(K211=0,1,K211)+IF(I211="",挂机玩法规划!$L$2,VLOOKUP(I211,物品id!A:D,4,FALSE)*IF(L211=0,1,4))*IF(L211=0,1,L211))/O211</f>
        <v>0.64375000000000004</v>
      </c>
      <c r="N211" s="44">
        <f>IF(G211="",挂机玩法规划!$L$2,VLOOKUP(G211,物品id!A:D,4,FALSE)*4)+IF(H211="",挂机玩法规划!$L$2,VLOOKUP(H211,物品id!A:D,4,FALSE)*4)+IF(I211="",挂机玩法规划!$L$2,VLOOKUP(I211,物品id!A:D,4,FALSE)*4)</f>
        <v>320</v>
      </c>
      <c r="O211" s="61">
        <v>320</v>
      </c>
      <c r="P211" s="60">
        <v>4</v>
      </c>
      <c r="Q211" s="60">
        <v>4</v>
      </c>
      <c r="R211" s="60">
        <v>4</v>
      </c>
      <c r="S211" s="60">
        <v>720</v>
      </c>
      <c r="T211" s="60" t="s">
        <v>835</v>
      </c>
      <c r="U211" s="60">
        <v>720</v>
      </c>
      <c r="V211" s="60" t="s">
        <v>841</v>
      </c>
      <c r="W211" s="60" t="s">
        <v>200</v>
      </c>
      <c r="X211" s="60">
        <v>4</v>
      </c>
      <c r="Y211" s="60">
        <f>U211*挂机玩法规划!$O$4*VLOOKUP(E211,挂机玩法规划!$G$2:$I$17,3,FALSE)</f>
        <v>4320</v>
      </c>
      <c r="Z211" s="17">
        <f t="shared" si="386"/>
        <v>2.5750000000000002</v>
      </c>
      <c r="AA211" s="17">
        <f t="shared" si="387"/>
        <v>2781</v>
      </c>
      <c r="AB211" s="17">
        <f>(VLOOKUP(V211,物品id!A:E,5,FALSE)*挂机玩法填表!Z211+VLOOKUP(挂机玩法填表!W211,物品id!A:E,5,FALSE)*挂机玩法填表!AA211)/(U211/60)</f>
        <v>26.556833333333334</v>
      </c>
      <c r="AD211" s="60" t="str">
        <f>IF(G211="","",VLOOKUP(G211,物品id!$A:$B,2,FALSE)&amp;",")</f>
        <v>3211,</v>
      </c>
      <c r="AE211" s="60" t="str">
        <f>IF(H211="","",VLOOKUP(H211,物品id!$A:$B,2,FALSE)&amp;",")</f>
        <v>3311,</v>
      </c>
      <c r="AF211" s="60" t="str">
        <f>IF(I211="","",VLOOKUP(I211,物品id!$A:$B,2,FALSE)&amp;",")</f>
        <v>3321,</v>
      </c>
      <c r="AG211" s="60" t="str">
        <f t="shared" si="375"/>
        <v>3211,3311,3321,</v>
      </c>
      <c r="AH211" s="60" t="str">
        <f t="shared" si="376"/>
        <v>[3211,3311,3321]</v>
      </c>
      <c r="AI211" s="17" t="str">
        <f t="shared" si="388"/>
        <v>4,</v>
      </c>
      <c r="AJ211" s="17" t="str">
        <f t="shared" si="389"/>
        <v>4,</v>
      </c>
      <c r="AK211" s="17" t="str">
        <f t="shared" si="390"/>
        <v>4,</v>
      </c>
      <c r="AL211" s="60" t="str">
        <f t="shared" si="377"/>
        <v>4,4,4,</v>
      </c>
      <c r="AM211" s="60" t="str">
        <f t="shared" si="378"/>
        <v>[4,4,4]</v>
      </c>
      <c r="AN211" s="60" t="str">
        <f>VLOOKUP(T211,物品id!$A:$B,2,FALSE)&amp;","</f>
        <v>102,</v>
      </c>
      <c r="AO211" s="17" t="str">
        <f t="shared" si="391"/>
        <v>[102]</v>
      </c>
      <c r="AP211" s="60" t="str">
        <f t="shared" si="383"/>
        <v>720,</v>
      </c>
      <c r="AQ211" s="17" t="str">
        <f t="shared" si="392"/>
        <v>[720]</v>
      </c>
      <c r="AR211" s="60" t="str">
        <f>IF(V211="","",VLOOKUP(V211,物品id!$A:$B,2,FALSE)&amp;",")</f>
        <v>20037,</v>
      </c>
      <c r="AS211" s="60" t="str">
        <f>IF(W211="","",VLOOKUP(W211,物品id!$A:$B,2,FALSE)&amp;",")</f>
        <v>102,</v>
      </c>
      <c r="AT211" s="60" t="str">
        <f t="shared" si="379"/>
        <v>20037,102,</v>
      </c>
      <c r="AU211" s="60" t="str">
        <f t="shared" si="380"/>
        <v>[20037,102]</v>
      </c>
      <c r="AV211" s="60" t="str">
        <f t="shared" si="384"/>
        <v>4,</v>
      </c>
      <c r="AW211" s="60" t="str">
        <f t="shared" si="385"/>
        <v>4320,</v>
      </c>
      <c r="AX211" s="60" t="str">
        <f t="shared" si="381"/>
        <v>4,4320,</v>
      </c>
      <c r="AY211" s="60" t="str">
        <f t="shared" si="382"/>
        <v>[4,4320]</v>
      </c>
    </row>
    <row r="212" spans="1:51" s="60" customFormat="1" x14ac:dyDescent="0.2">
      <c r="A212" s="60">
        <v>5</v>
      </c>
      <c r="B212" s="60" t="s">
        <v>1132</v>
      </c>
      <c r="C212" s="60">
        <v>62</v>
      </c>
      <c r="D212" s="34" t="s">
        <v>1167</v>
      </c>
      <c r="E212" s="60" t="s">
        <v>1017</v>
      </c>
      <c r="F212" s="60">
        <v>3</v>
      </c>
      <c r="G212" s="60" t="s">
        <v>806</v>
      </c>
      <c r="H212" s="60" t="s">
        <v>807</v>
      </c>
      <c r="I212" s="60" t="s">
        <v>808</v>
      </c>
      <c r="J212" s="17">
        <v>0.8</v>
      </c>
      <c r="K212" s="17">
        <v>0</v>
      </c>
      <c r="L212" s="17">
        <v>0</v>
      </c>
      <c r="M212" s="35">
        <f>(IF(G212="",挂机玩法规划!$L$2,VLOOKUP(G212,物品id!A:D,4,FALSE)*IF(J212=0,1,4))*IF(J212=0,1,J212)+IF(H212="",挂机玩法规划!$L$2,VLOOKUP(H212,物品id!A:D,4,FALSE)*IF(K212=0,1,4))*IF(K212=0,1,K212)+IF(I212="",挂机玩法规划!$L$2,VLOOKUP(I212,物品id!A:D,4,FALSE)*IF(L212=0,1,4))*IF(L212=0,1,L212))/O212</f>
        <v>0.43333333333333335</v>
      </c>
      <c r="N212" s="44">
        <f>IF(G212="",挂机玩法规划!$L$2,VLOOKUP(G212,物品id!A:D,4,FALSE)*4)+IF(H212="",挂机玩法规划!$L$2,VLOOKUP(H212,物品id!A:D,4,FALSE)*4)+IF(I212="",挂机玩法规划!$L$2,VLOOKUP(I212,物品id!A:D,4,FALSE)*4)</f>
        <v>360</v>
      </c>
      <c r="O212" s="61">
        <v>360</v>
      </c>
      <c r="P212" s="60">
        <v>4</v>
      </c>
      <c r="Q212" s="60">
        <v>4</v>
      </c>
      <c r="R212" s="60">
        <v>4</v>
      </c>
      <c r="S212" s="60">
        <v>120</v>
      </c>
      <c r="T212" s="60" t="s">
        <v>835</v>
      </c>
      <c r="U212" s="60">
        <v>120</v>
      </c>
      <c r="V212" s="60" t="s">
        <v>837</v>
      </c>
      <c r="W212" s="60" t="s">
        <v>200</v>
      </c>
      <c r="X212" s="60">
        <v>1</v>
      </c>
      <c r="Y212" s="60">
        <f>U212*挂机玩法规划!$O$4*VLOOKUP(E212,挂机玩法规划!$G$2:$I$17,3,FALSE)</f>
        <v>720</v>
      </c>
      <c r="Z212" s="17">
        <f t="shared" si="386"/>
        <v>0.43333333333333335</v>
      </c>
      <c r="AA212" s="17">
        <f t="shared" si="387"/>
        <v>312</v>
      </c>
      <c r="AB212" s="17">
        <f>(VLOOKUP(V212,物品id!A:E,5,FALSE)*挂机玩法填表!Z212+VLOOKUP(挂机玩法填表!W212,物品id!A:E,5,FALSE)*挂机玩法填表!AA212)/(U212/60)</f>
        <v>29.431999999999999</v>
      </c>
      <c r="AD212" s="60" t="str">
        <f>IF(G212="","",VLOOKUP(G212,物品id!$A:$B,2,FALSE)&amp;",")</f>
        <v>1311,</v>
      </c>
      <c r="AE212" s="60" t="str">
        <f>IF(H212="","",VLOOKUP(H212,物品id!$A:$B,2,FALSE)&amp;",")</f>
        <v>1321,</v>
      </c>
      <c r="AF212" s="60" t="str">
        <f>IF(I212="","",VLOOKUP(I212,物品id!$A:$B,2,FALSE)&amp;",")</f>
        <v>1331,</v>
      </c>
      <c r="AG212" s="60" t="str">
        <f t="shared" si="375"/>
        <v>1311,1321,1331,</v>
      </c>
      <c r="AH212" s="60" t="str">
        <f t="shared" si="376"/>
        <v>[1311,1321,1331]</v>
      </c>
      <c r="AI212" s="17" t="str">
        <f t="shared" si="388"/>
        <v>4,</v>
      </c>
      <c r="AJ212" s="17" t="str">
        <f t="shared" si="389"/>
        <v>4,</v>
      </c>
      <c r="AK212" s="17" t="str">
        <f t="shared" si="390"/>
        <v>4,</v>
      </c>
      <c r="AL212" s="60" t="str">
        <f t="shared" si="377"/>
        <v>4,4,4,</v>
      </c>
      <c r="AM212" s="60" t="str">
        <f t="shared" si="378"/>
        <v>[4,4,4]</v>
      </c>
      <c r="AN212" s="60" t="str">
        <f>VLOOKUP(T212,物品id!$A:$B,2,FALSE)&amp;","</f>
        <v>102,</v>
      </c>
      <c r="AO212" s="17" t="str">
        <f t="shared" si="391"/>
        <v>[102]</v>
      </c>
      <c r="AP212" s="60" t="str">
        <f t="shared" si="383"/>
        <v>120,</v>
      </c>
      <c r="AQ212" s="17" t="str">
        <f t="shared" si="392"/>
        <v>[120]</v>
      </c>
      <c r="AR212" s="60" t="str">
        <f>IF(V212="","",VLOOKUP(V212,物品id!$A:$B,2,FALSE)&amp;",")</f>
        <v>20033,</v>
      </c>
      <c r="AS212" s="60" t="str">
        <f>IF(W212="","",VLOOKUP(W212,物品id!$A:$B,2,FALSE)&amp;",")</f>
        <v>102,</v>
      </c>
      <c r="AT212" s="60" t="str">
        <f t="shared" si="379"/>
        <v>20033,102,</v>
      </c>
      <c r="AU212" s="60" t="str">
        <f t="shared" si="380"/>
        <v>[20033,102]</v>
      </c>
      <c r="AV212" s="60" t="str">
        <f t="shared" si="384"/>
        <v>1,</v>
      </c>
      <c r="AW212" s="60" t="str">
        <f t="shared" si="385"/>
        <v>720,</v>
      </c>
      <c r="AX212" s="60" t="str">
        <f t="shared" si="381"/>
        <v>1,720,</v>
      </c>
      <c r="AY212" s="60" t="str">
        <f t="shared" si="382"/>
        <v>[1,720]</v>
      </c>
    </row>
    <row r="213" spans="1:51" s="60" customFormat="1" x14ac:dyDescent="0.2">
      <c r="A213" s="60">
        <v>5</v>
      </c>
      <c r="B213" s="60" t="s">
        <v>1132</v>
      </c>
      <c r="C213" s="60">
        <v>62</v>
      </c>
      <c r="D213" s="34" t="s">
        <v>1167</v>
      </c>
      <c r="E213" s="60" t="s">
        <v>1017</v>
      </c>
      <c r="F213" s="60">
        <v>3</v>
      </c>
      <c r="G213" s="60" t="s">
        <v>817</v>
      </c>
      <c r="H213" s="60" t="s">
        <v>818</v>
      </c>
      <c r="I213" s="60" t="s">
        <v>819</v>
      </c>
      <c r="J213" s="17">
        <v>0.8</v>
      </c>
      <c r="K213" s="17">
        <v>0</v>
      </c>
      <c r="L213" s="17">
        <v>0</v>
      </c>
      <c r="M213" s="35">
        <f>(IF(G213="",挂机玩法规划!$L$2,VLOOKUP(G213,物品id!A:D,4,FALSE)*IF(J213=0,1,4))*IF(J213=0,1,J213)+IF(H213="",挂机玩法规划!$L$2,VLOOKUP(H213,物品id!A:D,4,FALSE)*IF(K213=0,1,4))*IF(K213=0,1,K213)+IF(I213="",挂机玩法规划!$L$2,VLOOKUP(I213,物品id!A:D,4,FALSE)*IF(L213=0,1,4))*IF(L213=0,1,L213))/O213</f>
        <v>0.43333333333333335</v>
      </c>
      <c r="N213" s="44">
        <f>IF(G213="",挂机玩法规划!$L$2,VLOOKUP(G213,物品id!A:D,4,FALSE)*4)+IF(H213="",挂机玩法规划!$L$2,VLOOKUP(H213,物品id!A:D,4,FALSE)*4)+IF(I213="",挂机玩法规划!$L$2,VLOOKUP(I213,物品id!A:D,4,FALSE)*4)</f>
        <v>360</v>
      </c>
      <c r="O213" s="61">
        <v>360</v>
      </c>
      <c r="P213" s="60">
        <v>4</v>
      </c>
      <c r="Q213" s="60">
        <v>4</v>
      </c>
      <c r="R213" s="60">
        <v>4</v>
      </c>
      <c r="S213" s="60">
        <v>120</v>
      </c>
      <c r="T213" s="60" t="s">
        <v>835</v>
      </c>
      <c r="U213" s="60">
        <v>120</v>
      </c>
      <c r="V213" s="60" t="s">
        <v>837</v>
      </c>
      <c r="W213" s="60" t="s">
        <v>200</v>
      </c>
      <c r="X213" s="60">
        <v>1</v>
      </c>
      <c r="Y213" s="60">
        <f>U213*挂机玩法规划!$O$4*VLOOKUP(E213,挂机玩法规划!$G$2:$I$17,3,FALSE)</f>
        <v>720</v>
      </c>
      <c r="Z213" s="17">
        <f t="shared" si="386"/>
        <v>0.43333333333333335</v>
      </c>
      <c r="AA213" s="17">
        <f t="shared" si="387"/>
        <v>312</v>
      </c>
      <c r="AB213" s="17">
        <f>(VLOOKUP(V213,物品id!A:E,5,FALSE)*挂机玩法填表!Z213+VLOOKUP(挂机玩法填表!W213,物品id!A:E,5,FALSE)*挂机玩法填表!AA213)/(U213/60)</f>
        <v>29.431999999999999</v>
      </c>
      <c r="AD213" s="60" t="str">
        <f>IF(G213="","",VLOOKUP(G213,物品id!$A:$B,2,FALSE)&amp;",")</f>
        <v>2311,</v>
      </c>
      <c r="AE213" s="60" t="str">
        <f>IF(H213="","",VLOOKUP(H213,物品id!$A:$B,2,FALSE)&amp;",")</f>
        <v>2321,</v>
      </c>
      <c r="AF213" s="60" t="str">
        <f>IF(I213="","",VLOOKUP(I213,物品id!$A:$B,2,FALSE)&amp;",")</f>
        <v>2331,</v>
      </c>
      <c r="AG213" s="60" t="str">
        <f t="shared" si="375"/>
        <v>2311,2321,2331,</v>
      </c>
      <c r="AH213" s="60" t="str">
        <f t="shared" si="376"/>
        <v>[2311,2321,2331]</v>
      </c>
      <c r="AI213" s="17" t="str">
        <f t="shared" si="388"/>
        <v>4,</v>
      </c>
      <c r="AJ213" s="17" t="str">
        <f t="shared" si="389"/>
        <v>4,</v>
      </c>
      <c r="AK213" s="17" t="str">
        <f t="shared" si="390"/>
        <v>4,</v>
      </c>
      <c r="AL213" s="60" t="str">
        <f t="shared" si="377"/>
        <v>4,4,4,</v>
      </c>
      <c r="AM213" s="60" t="str">
        <f t="shared" si="378"/>
        <v>[4,4,4]</v>
      </c>
      <c r="AN213" s="60" t="str">
        <f>VLOOKUP(T213,物品id!$A:$B,2,FALSE)&amp;","</f>
        <v>102,</v>
      </c>
      <c r="AO213" s="17" t="str">
        <f t="shared" si="391"/>
        <v>[102]</v>
      </c>
      <c r="AP213" s="60" t="str">
        <f t="shared" si="383"/>
        <v>120,</v>
      </c>
      <c r="AQ213" s="17" t="str">
        <f t="shared" si="392"/>
        <v>[120]</v>
      </c>
      <c r="AR213" s="60" t="str">
        <f>IF(V213="","",VLOOKUP(V213,物品id!$A:$B,2,FALSE)&amp;",")</f>
        <v>20033,</v>
      </c>
      <c r="AS213" s="60" t="str">
        <f>IF(W213="","",VLOOKUP(W213,物品id!$A:$B,2,FALSE)&amp;",")</f>
        <v>102,</v>
      </c>
      <c r="AT213" s="60" t="str">
        <f t="shared" si="379"/>
        <v>20033,102,</v>
      </c>
      <c r="AU213" s="60" t="str">
        <f t="shared" si="380"/>
        <v>[20033,102]</v>
      </c>
      <c r="AV213" s="60" t="str">
        <f t="shared" si="384"/>
        <v>1,</v>
      </c>
      <c r="AW213" s="60" t="str">
        <f t="shared" si="385"/>
        <v>720,</v>
      </c>
      <c r="AX213" s="60" t="str">
        <f t="shared" si="381"/>
        <v>1,720,</v>
      </c>
      <c r="AY213" s="60" t="str">
        <f t="shared" si="382"/>
        <v>[1,720]</v>
      </c>
    </row>
    <row r="214" spans="1:51" s="60" customFormat="1" x14ac:dyDescent="0.2">
      <c r="A214" s="60">
        <v>5</v>
      </c>
      <c r="B214" s="60" t="s">
        <v>1132</v>
      </c>
      <c r="C214" s="60">
        <v>62</v>
      </c>
      <c r="D214" s="34" t="s">
        <v>1167</v>
      </c>
      <c r="E214" s="60" t="s">
        <v>1017</v>
      </c>
      <c r="F214" s="60">
        <v>3</v>
      </c>
      <c r="G214" s="60" t="s">
        <v>827</v>
      </c>
      <c r="H214" s="60" t="s">
        <v>828</v>
      </c>
      <c r="I214" s="60" t="s">
        <v>829</v>
      </c>
      <c r="J214" s="17">
        <v>0.8</v>
      </c>
      <c r="K214" s="17">
        <v>0</v>
      </c>
      <c r="L214" s="17">
        <v>0</v>
      </c>
      <c r="M214" s="35">
        <f>(IF(G214="",挂机玩法规划!$L$2,VLOOKUP(G214,物品id!A:D,4,FALSE)*IF(J214=0,1,4))*IF(J214=0,1,J214)+IF(H214="",挂机玩法规划!$L$2,VLOOKUP(H214,物品id!A:D,4,FALSE)*IF(K214=0,1,4))*IF(K214=0,1,K214)+IF(I214="",挂机玩法规划!$L$2,VLOOKUP(I214,物品id!A:D,4,FALSE)*IF(L214=0,1,4))*IF(L214=0,1,L214))/O214</f>
        <v>0.43333333333333335</v>
      </c>
      <c r="N214" s="44">
        <f>IF(G214="",挂机玩法规划!$L$2,VLOOKUP(G214,物品id!A:D,4,FALSE)*4)+IF(H214="",挂机玩法规划!$L$2,VLOOKUP(H214,物品id!A:D,4,FALSE)*4)+IF(I214="",挂机玩法规划!$L$2,VLOOKUP(I214,物品id!A:D,4,FALSE)*4)</f>
        <v>360</v>
      </c>
      <c r="O214" s="61">
        <v>360</v>
      </c>
      <c r="P214" s="60">
        <v>4</v>
      </c>
      <c r="Q214" s="60">
        <v>4</v>
      </c>
      <c r="R214" s="60">
        <v>4</v>
      </c>
      <c r="S214" s="60">
        <v>120</v>
      </c>
      <c r="T214" s="60" t="s">
        <v>835</v>
      </c>
      <c r="U214" s="60">
        <v>120</v>
      </c>
      <c r="V214" s="60" t="s">
        <v>837</v>
      </c>
      <c r="W214" s="60" t="s">
        <v>200</v>
      </c>
      <c r="X214" s="60">
        <v>1</v>
      </c>
      <c r="Y214" s="60">
        <f>U214*挂机玩法规划!$O$4*VLOOKUP(E214,挂机玩法规划!$G$2:$I$17,3,FALSE)</f>
        <v>720</v>
      </c>
      <c r="Z214" s="17">
        <f t="shared" si="386"/>
        <v>0.43333333333333335</v>
      </c>
      <c r="AA214" s="17">
        <f t="shared" si="387"/>
        <v>312</v>
      </c>
      <c r="AB214" s="17">
        <f>(VLOOKUP(V214,物品id!A:E,5,FALSE)*挂机玩法填表!Z214+VLOOKUP(挂机玩法填表!W214,物品id!A:E,5,FALSE)*挂机玩法填表!AA214)/(U214/60)</f>
        <v>29.431999999999999</v>
      </c>
      <c r="AD214" s="60" t="str">
        <f>IF(G214="","",VLOOKUP(G214,物品id!$A:$B,2,FALSE)&amp;",")</f>
        <v>3311,</v>
      </c>
      <c r="AE214" s="60" t="str">
        <f>IF(H214="","",VLOOKUP(H214,物品id!$A:$B,2,FALSE)&amp;",")</f>
        <v>3321,</v>
      </c>
      <c r="AF214" s="60" t="str">
        <f>IF(I214="","",VLOOKUP(I214,物品id!$A:$B,2,FALSE)&amp;",")</f>
        <v>3331,</v>
      </c>
      <c r="AG214" s="60" t="str">
        <f t="shared" si="375"/>
        <v>3311,3321,3331,</v>
      </c>
      <c r="AH214" s="60" t="str">
        <f t="shared" si="376"/>
        <v>[3311,3321,3331]</v>
      </c>
      <c r="AI214" s="17" t="str">
        <f t="shared" si="388"/>
        <v>4,</v>
      </c>
      <c r="AJ214" s="17" t="str">
        <f t="shared" si="389"/>
        <v>4,</v>
      </c>
      <c r="AK214" s="17" t="str">
        <f t="shared" si="390"/>
        <v>4,</v>
      </c>
      <c r="AL214" s="60" t="str">
        <f t="shared" si="377"/>
        <v>4,4,4,</v>
      </c>
      <c r="AM214" s="60" t="str">
        <f t="shared" si="378"/>
        <v>[4,4,4]</v>
      </c>
      <c r="AN214" s="60" t="str">
        <f>VLOOKUP(T214,物品id!$A:$B,2,FALSE)&amp;","</f>
        <v>102,</v>
      </c>
      <c r="AO214" s="17" t="str">
        <f t="shared" si="391"/>
        <v>[102]</v>
      </c>
      <c r="AP214" s="60" t="str">
        <f t="shared" si="383"/>
        <v>120,</v>
      </c>
      <c r="AQ214" s="17" t="str">
        <f t="shared" si="392"/>
        <v>[120]</v>
      </c>
      <c r="AR214" s="60" t="str">
        <f>IF(V214="","",VLOOKUP(V214,物品id!$A:$B,2,FALSE)&amp;",")</f>
        <v>20033,</v>
      </c>
      <c r="AS214" s="60" t="str">
        <f>IF(W214="","",VLOOKUP(W214,物品id!$A:$B,2,FALSE)&amp;",")</f>
        <v>102,</v>
      </c>
      <c r="AT214" s="60" t="str">
        <f t="shared" si="379"/>
        <v>20033,102,</v>
      </c>
      <c r="AU214" s="60" t="str">
        <f t="shared" si="380"/>
        <v>[20033,102]</v>
      </c>
      <c r="AV214" s="60" t="str">
        <f t="shared" si="384"/>
        <v>1,</v>
      </c>
      <c r="AW214" s="60" t="str">
        <f t="shared" si="385"/>
        <v>720,</v>
      </c>
      <c r="AX214" s="60" t="str">
        <f t="shared" si="381"/>
        <v>1,720,</v>
      </c>
      <c r="AY214" s="60" t="str">
        <f t="shared" si="382"/>
        <v>[1,720]</v>
      </c>
    </row>
    <row r="215" spans="1:51" s="60" customFormat="1" x14ac:dyDescent="0.2">
      <c r="A215" s="60">
        <v>5</v>
      </c>
      <c r="B215" s="60" t="s">
        <v>1132</v>
      </c>
      <c r="C215" s="60">
        <v>62</v>
      </c>
      <c r="D215" s="34" t="s">
        <v>1167</v>
      </c>
      <c r="E215" s="60" t="s">
        <v>1017</v>
      </c>
      <c r="F215" s="60">
        <v>3</v>
      </c>
      <c r="G215" s="60" t="s">
        <v>806</v>
      </c>
      <c r="H215" s="60" t="s">
        <v>807</v>
      </c>
      <c r="I215" s="60" t="s">
        <v>808</v>
      </c>
      <c r="J215" s="17">
        <v>0.8</v>
      </c>
      <c r="K215" s="17">
        <v>0</v>
      </c>
      <c r="L215" s="17">
        <v>0</v>
      </c>
      <c r="M215" s="35">
        <f>(IF(G215="",挂机玩法规划!$L$2,VLOOKUP(G215,物品id!A:D,4,FALSE)*IF(J215=0,1,4))*IF(J215=0,1,J215)+IF(H215="",挂机玩法规划!$L$2,VLOOKUP(H215,物品id!A:D,4,FALSE)*IF(K215=0,1,4))*IF(K215=0,1,K215)+IF(I215="",挂机玩法规划!$L$2,VLOOKUP(I215,物品id!A:D,4,FALSE)*IF(L215=0,1,4))*IF(L215=0,1,L215))/O215</f>
        <v>0.43333333333333335</v>
      </c>
      <c r="N215" s="44">
        <f>IF(G215="",挂机玩法规划!$L$2,VLOOKUP(G215,物品id!A:D,4,FALSE)*4)+IF(H215="",挂机玩法规划!$L$2,VLOOKUP(H215,物品id!A:D,4,FALSE)*4)+IF(I215="",挂机玩法规划!$L$2,VLOOKUP(I215,物品id!A:D,4,FALSE)*4)</f>
        <v>360</v>
      </c>
      <c r="O215" s="61">
        <v>360</v>
      </c>
      <c r="P215" s="60">
        <v>4</v>
      </c>
      <c r="Q215" s="60">
        <v>4</v>
      </c>
      <c r="R215" s="60">
        <v>4</v>
      </c>
      <c r="S215" s="60">
        <v>240</v>
      </c>
      <c r="T215" s="60" t="s">
        <v>835</v>
      </c>
      <c r="U215" s="60">
        <v>240</v>
      </c>
      <c r="V215" s="60" t="s">
        <v>837</v>
      </c>
      <c r="W215" s="60" t="s">
        <v>200</v>
      </c>
      <c r="X215" s="60">
        <v>2</v>
      </c>
      <c r="Y215" s="60">
        <f>U215*挂机玩法规划!$O$4*VLOOKUP(E215,挂机玩法规划!$G$2:$I$17,3,FALSE)</f>
        <v>1440</v>
      </c>
      <c r="Z215" s="17">
        <f t="shared" si="386"/>
        <v>0.8666666666666667</v>
      </c>
      <c r="AA215" s="17">
        <f t="shared" si="387"/>
        <v>624</v>
      </c>
      <c r="AB215" s="17">
        <f>(VLOOKUP(V215,物品id!A:E,5,FALSE)*挂机玩法填表!Z215+VLOOKUP(挂机玩法填表!W215,物品id!A:E,5,FALSE)*挂机玩法填表!AA215)/(U215/60)</f>
        <v>29.431999999999999</v>
      </c>
      <c r="AD215" s="60" t="str">
        <f>IF(G215="","",VLOOKUP(G215,物品id!$A:$B,2,FALSE)&amp;",")</f>
        <v>1311,</v>
      </c>
      <c r="AE215" s="60" t="str">
        <f>IF(H215="","",VLOOKUP(H215,物品id!$A:$B,2,FALSE)&amp;",")</f>
        <v>1321,</v>
      </c>
      <c r="AF215" s="60" t="str">
        <f>IF(I215="","",VLOOKUP(I215,物品id!$A:$B,2,FALSE)&amp;",")</f>
        <v>1331,</v>
      </c>
      <c r="AG215" s="60" t="str">
        <f t="shared" si="375"/>
        <v>1311,1321,1331,</v>
      </c>
      <c r="AH215" s="60" t="str">
        <f t="shared" si="376"/>
        <v>[1311,1321,1331]</v>
      </c>
      <c r="AI215" s="17" t="str">
        <f t="shared" si="388"/>
        <v>4,</v>
      </c>
      <c r="AJ215" s="17" t="str">
        <f t="shared" si="389"/>
        <v>4,</v>
      </c>
      <c r="AK215" s="17" t="str">
        <f t="shared" si="390"/>
        <v>4,</v>
      </c>
      <c r="AL215" s="60" t="str">
        <f t="shared" si="377"/>
        <v>4,4,4,</v>
      </c>
      <c r="AM215" s="60" t="str">
        <f t="shared" si="378"/>
        <v>[4,4,4]</v>
      </c>
      <c r="AN215" s="60" t="str">
        <f>VLOOKUP(T215,物品id!$A:$B,2,FALSE)&amp;","</f>
        <v>102,</v>
      </c>
      <c r="AO215" s="17" t="str">
        <f t="shared" si="391"/>
        <v>[102]</v>
      </c>
      <c r="AP215" s="60" t="str">
        <f t="shared" si="383"/>
        <v>240,</v>
      </c>
      <c r="AQ215" s="17" t="str">
        <f t="shared" si="392"/>
        <v>[240]</v>
      </c>
      <c r="AR215" s="60" t="str">
        <f>IF(V215="","",VLOOKUP(V215,物品id!$A:$B,2,FALSE)&amp;",")</f>
        <v>20033,</v>
      </c>
      <c r="AS215" s="60" t="str">
        <f>IF(W215="","",VLOOKUP(W215,物品id!$A:$B,2,FALSE)&amp;",")</f>
        <v>102,</v>
      </c>
      <c r="AT215" s="60" t="str">
        <f t="shared" si="379"/>
        <v>20033,102,</v>
      </c>
      <c r="AU215" s="60" t="str">
        <f t="shared" si="380"/>
        <v>[20033,102]</v>
      </c>
      <c r="AV215" s="60" t="str">
        <f t="shared" si="384"/>
        <v>2,</v>
      </c>
      <c r="AW215" s="60" t="str">
        <f t="shared" si="385"/>
        <v>1440,</v>
      </c>
      <c r="AX215" s="60" t="str">
        <f t="shared" si="381"/>
        <v>2,1440,</v>
      </c>
      <c r="AY215" s="60" t="str">
        <f t="shared" si="382"/>
        <v>[2,1440]</v>
      </c>
    </row>
    <row r="216" spans="1:51" s="60" customFormat="1" x14ac:dyDescent="0.2">
      <c r="A216" s="60">
        <v>5</v>
      </c>
      <c r="B216" s="60" t="s">
        <v>1132</v>
      </c>
      <c r="C216" s="60">
        <v>62</v>
      </c>
      <c r="D216" s="34" t="s">
        <v>1167</v>
      </c>
      <c r="E216" s="60" t="s">
        <v>1017</v>
      </c>
      <c r="F216" s="60">
        <v>3</v>
      </c>
      <c r="G216" s="60" t="s">
        <v>817</v>
      </c>
      <c r="H216" s="60" t="s">
        <v>818</v>
      </c>
      <c r="I216" s="60" t="s">
        <v>819</v>
      </c>
      <c r="J216" s="17">
        <v>0.8</v>
      </c>
      <c r="K216" s="17">
        <v>0</v>
      </c>
      <c r="L216" s="17">
        <v>0</v>
      </c>
      <c r="M216" s="35">
        <f>(IF(G216="",挂机玩法规划!$L$2,VLOOKUP(G216,物品id!A:D,4,FALSE)*IF(J216=0,1,4))*IF(J216=0,1,J216)+IF(H216="",挂机玩法规划!$L$2,VLOOKUP(H216,物品id!A:D,4,FALSE)*IF(K216=0,1,4))*IF(K216=0,1,K216)+IF(I216="",挂机玩法规划!$L$2,VLOOKUP(I216,物品id!A:D,4,FALSE)*IF(L216=0,1,4))*IF(L216=0,1,L216))/O216</f>
        <v>0.43333333333333335</v>
      </c>
      <c r="N216" s="44">
        <f>IF(G216="",挂机玩法规划!$L$2,VLOOKUP(G216,物品id!A:D,4,FALSE)*4)+IF(H216="",挂机玩法规划!$L$2,VLOOKUP(H216,物品id!A:D,4,FALSE)*4)+IF(I216="",挂机玩法规划!$L$2,VLOOKUP(I216,物品id!A:D,4,FALSE)*4)</f>
        <v>360</v>
      </c>
      <c r="O216" s="61">
        <v>360</v>
      </c>
      <c r="P216" s="60">
        <v>4</v>
      </c>
      <c r="Q216" s="60">
        <v>4</v>
      </c>
      <c r="R216" s="60">
        <v>4</v>
      </c>
      <c r="S216" s="60">
        <v>240</v>
      </c>
      <c r="T216" s="60" t="s">
        <v>835</v>
      </c>
      <c r="U216" s="60">
        <v>240</v>
      </c>
      <c r="V216" s="60" t="s">
        <v>837</v>
      </c>
      <c r="W216" s="60" t="s">
        <v>200</v>
      </c>
      <c r="X216" s="60">
        <v>2</v>
      </c>
      <c r="Y216" s="60">
        <f>U216*挂机玩法规划!$O$4*VLOOKUP(E216,挂机玩法规划!$G$2:$I$17,3,FALSE)</f>
        <v>1440</v>
      </c>
      <c r="Z216" s="17">
        <f t="shared" si="386"/>
        <v>0.8666666666666667</v>
      </c>
      <c r="AA216" s="17">
        <f t="shared" si="387"/>
        <v>624</v>
      </c>
      <c r="AB216" s="17">
        <f>(VLOOKUP(V216,物品id!A:E,5,FALSE)*挂机玩法填表!Z216+VLOOKUP(挂机玩法填表!W216,物品id!A:E,5,FALSE)*挂机玩法填表!AA216)/(U216/60)</f>
        <v>29.431999999999999</v>
      </c>
      <c r="AD216" s="60" t="str">
        <f>IF(G216="","",VLOOKUP(G216,物品id!$A:$B,2,FALSE)&amp;",")</f>
        <v>2311,</v>
      </c>
      <c r="AE216" s="60" t="str">
        <f>IF(H216="","",VLOOKUP(H216,物品id!$A:$B,2,FALSE)&amp;",")</f>
        <v>2321,</v>
      </c>
      <c r="AF216" s="60" t="str">
        <f>IF(I216="","",VLOOKUP(I216,物品id!$A:$B,2,FALSE)&amp;",")</f>
        <v>2331,</v>
      </c>
      <c r="AG216" s="60" t="str">
        <f t="shared" si="375"/>
        <v>2311,2321,2331,</v>
      </c>
      <c r="AH216" s="60" t="str">
        <f t="shared" si="376"/>
        <v>[2311,2321,2331]</v>
      </c>
      <c r="AI216" s="17" t="str">
        <f t="shared" si="388"/>
        <v>4,</v>
      </c>
      <c r="AJ216" s="17" t="str">
        <f t="shared" si="389"/>
        <v>4,</v>
      </c>
      <c r="AK216" s="17" t="str">
        <f t="shared" si="390"/>
        <v>4,</v>
      </c>
      <c r="AL216" s="60" t="str">
        <f t="shared" si="377"/>
        <v>4,4,4,</v>
      </c>
      <c r="AM216" s="60" t="str">
        <f t="shared" si="378"/>
        <v>[4,4,4]</v>
      </c>
      <c r="AN216" s="60" t="str">
        <f>VLOOKUP(T216,物品id!$A:$B,2,FALSE)&amp;","</f>
        <v>102,</v>
      </c>
      <c r="AO216" s="17" t="str">
        <f t="shared" si="391"/>
        <v>[102]</v>
      </c>
      <c r="AP216" s="60" t="str">
        <f t="shared" si="383"/>
        <v>240,</v>
      </c>
      <c r="AQ216" s="17" t="str">
        <f t="shared" si="392"/>
        <v>[240]</v>
      </c>
      <c r="AR216" s="60" t="str">
        <f>IF(V216="","",VLOOKUP(V216,物品id!$A:$B,2,FALSE)&amp;",")</f>
        <v>20033,</v>
      </c>
      <c r="AS216" s="60" t="str">
        <f>IF(W216="","",VLOOKUP(W216,物品id!$A:$B,2,FALSE)&amp;",")</f>
        <v>102,</v>
      </c>
      <c r="AT216" s="60" t="str">
        <f t="shared" si="379"/>
        <v>20033,102,</v>
      </c>
      <c r="AU216" s="60" t="str">
        <f t="shared" si="380"/>
        <v>[20033,102]</v>
      </c>
      <c r="AV216" s="60" t="str">
        <f t="shared" si="384"/>
        <v>2,</v>
      </c>
      <c r="AW216" s="60" t="str">
        <f t="shared" si="385"/>
        <v>1440,</v>
      </c>
      <c r="AX216" s="60" t="str">
        <f t="shared" si="381"/>
        <v>2,1440,</v>
      </c>
      <c r="AY216" s="60" t="str">
        <f t="shared" si="382"/>
        <v>[2,1440]</v>
      </c>
    </row>
    <row r="217" spans="1:51" s="60" customFormat="1" x14ac:dyDescent="0.2">
      <c r="A217" s="60">
        <v>5</v>
      </c>
      <c r="B217" s="60" t="s">
        <v>1132</v>
      </c>
      <c r="C217" s="60">
        <v>62</v>
      </c>
      <c r="D217" s="34" t="s">
        <v>1167</v>
      </c>
      <c r="E217" s="60" t="s">
        <v>1017</v>
      </c>
      <c r="F217" s="60">
        <v>3</v>
      </c>
      <c r="G217" s="60" t="s">
        <v>827</v>
      </c>
      <c r="H217" s="60" t="s">
        <v>828</v>
      </c>
      <c r="I217" s="60" t="s">
        <v>829</v>
      </c>
      <c r="J217" s="17">
        <v>0.8</v>
      </c>
      <c r="K217" s="17">
        <v>0</v>
      </c>
      <c r="L217" s="17">
        <v>0</v>
      </c>
      <c r="M217" s="35">
        <f>(IF(G217="",挂机玩法规划!$L$2,VLOOKUP(G217,物品id!A:D,4,FALSE)*IF(J217=0,1,4))*IF(J217=0,1,J217)+IF(H217="",挂机玩法规划!$L$2,VLOOKUP(H217,物品id!A:D,4,FALSE)*IF(K217=0,1,4))*IF(K217=0,1,K217)+IF(I217="",挂机玩法规划!$L$2,VLOOKUP(I217,物品id!A:D,4,FALSE)*IF(L217=0,1,4))*IF(L217=0,1,L217))/O217</f>
        <v>0.43333333333333335</v>
      </c>
      <c r="N217" s="44">
        <f>IF(G217="",挂机玩法规划!$L$2,VLOOKUP(G217,物品id!A:D,4,FALSE)*4)+IF(H217="",挂机玩法规划!$L$2,VLOOKUP(H217,物品id!A:D,4,FALSE)*4)+IF(I217="",挂机玩法规划!$L$2,VLOOKUP(I217,物品id!A:D,4,FALSE)*4)</f>
        <v>360</v>
      </c>
      <c r="O217" s="61">
        <v>360</v>
      </c>
      <c r="P217" s="60">
        <v>4</v>
      </c>
      <c r="Q217" s="60">
        <v>4</v>
      </c>
      <c r="R217" s="60">
        <v>4</v>
      </c>
      <c r="S217" s="60">
        <v>240</v>
      </c>
      <c r="T217" s="60" t="s">
        <v>835</v>
      </c>
      <c r="U217" s="60">
        <v>240</v>
      </c>
      <c r="V217" s="60" t="s">
        <v>837</v>
      </c>
      <c r="W217" s="60" t="s">
        <v>200</v>
      </c>
      <c r="X217" s="60">
        <v>2</v>
      </c>
      <c r="Y217" s="60">
        <f>U217*挂机玩法规划!$O$4*VLOOKUP(E217,挂机玩法规划!$G$2:$I$17,3,FALSE)</f>
        <v>1440</v>
      </c>
      <c r="Z217" s="17">
        <f t="shared" si="386"/>
        <v>0.8666666666666667</v>
      </c>
      <c r="AA217" s="17">
        <f t="shared" si="387"/>
        <v>624</v>
      </c>
      <c r="AB217" s="17">
        <f>(VLOOKUP(V217,物品id!A:E,5,FALSE)*挂机玩法填表!Z217+VLOOKUP(挂机玩法填表!W217,物品id!A:E,5,FALSE)*挂机玩法填表!AA217)/(U217/60)</f>
        <v>29.431999999999999</v>
      </c>
      <c r="AD217" s="60" t="str">
        <f>IF(G217="","",VLOOKUP(G217,物品id!$A:$B,2,FALSE)&amp;",")</f>
        <v>3311,</v>
      </c>
      <c r="AE217" s="60" t="str">
        <f>IF(H217="","",VLOOKUP(H217,物品id!$A:$B,2,FALSE)&amp;",")</f>
        <v>3321,</v>
      </c>
      <c r="AF217" s="60" t="str">
        <f>IF(I217="","",VLOOKUP(I217,物品id!$A:$B,2,FALSE)&amp;",")</f>
        <v>3331,</v>
      </c>
      <c r="AG217" s="60" t="str">
        <f t="shared" si="375"/>
        <v>3311,3321,3331,</v>
      </c>
      <c r="AH217" s="60" t="str">
        <f t="shared" si="376"/>
        <v>[3311,3321,3331]</v>
      </c>
      <c r="AI217" s="17" t="str">
        <f t="shared" si="388"/>
        <v>4,</v>
      </c>
      <c r="AJ217" s="17" t="str">
        <f t="shared" si="389"/>
        <v>4,</v>
      </c>
      <c r="AK217" s="17" t="str">
        <f t="shared" si="390"/>
        <v>4,</v>
      </c>
      <c r="AL217" s="60" t="str">
        <f t="shared" si="377"/>
        <v>4,4,4,</v>
      </c>
      <c r="AM217" s="60" t="str">
        <f t="shared" si="378"/>
        <v>[4,4,4]</v>
      </c>
      <c r="AN217" s="60" t="str">
        <f>VLOOKUP(T217,物品id!$A:$B,2,FALSE)&amp;","</f>
        <v>102,</v>
      </c>
      <c r="AO217" s="17" t="str">
        <f t="shared" si="391"/>
        <v>[102]</v>
      </c>
      <c r="AP217" s="60" t="str">
        <f t="shared" si="383"/>
        <v>240,</v>
      </c>
      <c r="AQ217" s="17" t="str">
        <f t="shared" si="392"/>
        <v>[240]</v>
      </c>
      <c r="AR217" s="60" t="str">
        <f>IF(V217="","",VLOOKUP(V217,物品id!$A:$B,2,FALSE)&amp;",")</f>
        <v>20033,</v>
      </c>
      <c r="AS217" s="60" t="str">
        <f>IF(W217="","",VLOOKUP(W217,物品id!$A:$B,2,FALSE)&amp;",")</f>
        <v>102,</v>
      </c>
      <c r="AT217" s="60" t="str">
        <f t="shared" si="379"/>
        <v>20033,102,</v>
      </c>
      <c r="AU217" s="60" t="str">
        <f t="shared" si="380"/>
        <v>[20033,102]</v>
      </c>
      <c r="AV217" s="60" t="str">
        <f t="shared" si="384"/>
        <v>2,</v>
      </c>
      <c r="AW217" s="60" t="str">
        <f t="shared" si="385"/>
        <v>1440,</v>
      </c>
      <c r="AX217" s="60" t="str">
        <f t="shared" si="381"/>
        <v>2,1440,</v>
      </c>
      <c r="AY217" s="60" t="str">
        <f t="shared" si="382"/>
        <v>[2,1440]</v>
      </c>
    </row>
    <row r="218" spans="1:51" s="60" customFormat="1" x14ac:dyDescent="0.2">
      <c r="A218" s="60">
        <v>5</v>
      </c>
      <c r="B218" s="60" t="s">
        <v>1132</v>
      </c>
      <c r="C218" s="60">
        <v>62</v>
      </c>
      <c r="D218" s="34" t="s">
        <v>1167</v>
      </c>
      <c r="E218" s="60" t="s">
        <v>1017</v>
      </c>
      <c r="F218" s="60">
        <v>3</v>
      </c>
      <c r="G218" s="60" t="s">
        <v>806</v>
      </c>
      <c r="H218" s="60" t="s">
        <v>807</v>
      </c>
      <c r="I218" s="60" t="s">
        <v>808</v>
      </c>
      <c r="J218" s="17">
        <v>0.8</v>
      </c>
      <c r="K218" s="17">
        <v>0</v>
      </c>
      <c r="L218" s="17">
        <v>0</v>
      </c>
      <c r="M218" s="35">
        <f>(IF(G218="",挂机玩法规划!$L$2,VLOOKUP(G218,物品id!A:D,4,FALSE)*IF(J218=0,1,4))*IF(J218=0,1,J218)+IF(H218="",挂机玩法规划!$L$2,VLOOKUP(H218,物品id!A:D,4,FALSE)*IF(K218=0,1,4))*IF(K218=0,1,K218)+IF(I218="",挂机玩法规划!$L$2,VLOOKUP(I218,物品id!A:D,4,FALSE)*IF(L218=0,1,4))*IF(L218=0,1,L218))/O218</f>
        <v>0.43333333333333335</v>
      </c>
      <c r="N218" s="44">
        <f>IF(G218="",挂机玩法规划!$L$2,VLOOKUP(G218,物品id!A:D,4,FALSE)*4)+IF(H218="",挂机玩法规划!$L$2,VLOOKUP(H218,物品id!A:D,4,FALSE)*4)+IF(I218="",挂机玩法规划!$L$2,VLOOKUP(I218,物品id!A:D,4,FALSE)*4)</f>
        <v>360</v>
      </c>
      <c r="O218" s="61">
        <v>360</v>
      </c>
      <c r="P218" s="60">
        <v>4</v>
      </c>
      <c r="Q218" s="60">
        <v>4</v>
      </c>
      <c r="R218" s="60">
        <v>4</v>
      </c>
      <c r="S218" s="60">
        <v>480</v>
      </c>
      <c r="T218" s="60" t="s">
        <v>835</v>
      </c>
      <c r="U218" s="60">
        <v>480</v>
      </c>
      <c r="V218" s="60" t="s">
        <v>837</v>
      </c>
      <c r="W218" s="60" t="s">
        <v>200</v>
      </c>
      <c r="X218" s="60">
        <v>3</v>
      </c>
      <c r="Y218" s="60">
        <f>U218*挂机玩法规划!$O$4*VLOOKUP(E218,挂机玩法规划!$G$2:$I$17,3,FALSE)</f>
        <v>2880</v>
      </c>
      <c r="Z218" s="17">
        <f t="shared" si="386"/>
        <v>1.3</v>
      </c>
      <c r="AA218" s="17">
        <f t="shared" si="387"/>
        <v>1248</v>
      </c>
      <c r="AB218" s="17">
        <f>(VLOOKUP(V218,物品id!A:E,5,FALSE)*挂机玩法填表!Z218+VLOOKUP(挂机玩法填表!W218,物品id!A:E,5,FALSE)*挂机玩法填表!AA218)/(U218/60)</f>
        <v>22.931999999999999</v>
      </c>
      <c r="AD218" s="60" t="str">
        <f>IF(G218="","",VLOOKUP(G218,物品id!$A:$B,2,FALSE)&amp;",")</f>
        <v>1311,</v>
      </c>
      <c r="AE218" s="60" t="str">
        <f>IF(H218="","",VLOOKUP(H218,物品id!$A:$B,2,FALSE)&amp;",")</f>
        <v>1321,</v>
      </c>
      <c r="AF218" s="60" t="str">
        <f>IF(I218="","",VLOOKUP(I218,物品id!$A:$B,2,FALSE)&amp;",")</f>
        <v>1331,</v>
      </c>
      <c r="AG218" s="60" t="str">
        <f t="shared" si="375"/>
        <v>1311,1321,1331,</v>
      </c>
      <c r="AH218" s="60" t="str">
        <f t="shared" si="376"/>
        <v>[1311,1321,1331]</v>
      </c>
      <c r="AI218" s="17" t="str">
        <f t="shared" si="388"/>
        <v>4,</v>
      </c>
      <c r="AJ218" s="17" t="str">
        <f t="shared" si="389"/>
        <v>4,</v>
      </c>
      <c r="AK218" s="17" t="str">
        <f t="shared" si="390"/>
        <v>4,</v>
      </c>
      <c r="AL218" s="60" t="str">
        <f t="shared" si="377"/>
        <v>4,4,4,</v>
      </c>
      <c r="AM218" s="60" t="str">
        <f t="shared" si="378"/>
        <v>[4,4,4]</v>
      </c>
      <c r="AN218" s="60" t="str">
        <f>VLOOKUP(T218,物品id!$A:$B,2,FALSE)&amp;","</f>
        <v>102,</v>
      </c>
      <c r="AO218" s="17" t="str">
        <f t="shared" si="391"/>
        <v>[102]</v>
      </c>
      <c r="AP218" s="60" t="str">
        <f t="shared" si="383"/>
        <v>480,</v>
      </c>
      <c r="AQ218" s="17" t="str">
        <f t="shared" si="392"/>
        <v>[480]</v>
      </c>
      <c r="AR218" s="60" t="str">
        <f>IF(V218="","",VLOOKUP(V218,物品id!$A:$B,2,FALSE)&amp;",")</f>
        <v>20033,</v>
      </c>
      <c r="AS218" s="60" t="str">
        <f>IF(W218="","",VLOOKUP(W218,物品id!$A:$B,2,FALSE)&amp;",")</f>
        <v>102,</v>
      </c>
      <c r="AT218" s="60" t="str">
        <f t="shared" si="379"/>
        <v>20033,102,</v>
      </c>
      <c r="AU218" s="60" t="str">
        <f t="shared" si="380"/>
        <v>[20033,102]</v>
      </c>
      <c r="AV218" s="60" t="str">
        <f t="shared" si="384"/>
        <v>3,</v>
      </c>
      <c r="AW218" s="60" t="str">
        <f t="shared" si="385"/>
        <v>2880,</v>
      </c>
      <c r="AX218" s="60" t="str">
        <f t="shared" si="381"/>
        <v>3,2880,</v>
      </c>
      <c r="AY218" s="60" t="str">
        <f t="shared" si="382"/>
        <v>[3,2880]</v>
      </c>
    </row>
    <row r="219" spans="1:51" s="60" customFormat="1" x14ac:dyDescent="0.2">
      <c r="A219" s="60">
        <v>5</v>
      </c>
      <c r="B219" s="60" t="s">
        <v>1132</v>
      </c>
      <c r="C219" s="60">
        <v>62</v>
      </c>
      <c r="D219" s="34" t="s">
        <v>1167</v>
      </c>
      <c r="E219" s="60" t="s">
        <v>1017</v>
      </c>
      <c r="F219" s="60">
        <v>3</v>
      </c>
      <c r="G219" s="60" t="s">
        <v>817</v>
      </c>
      <c r="H219" s="60" t="s">
        <v>818</v>
      </c>
      <c r="I219" s="60" t="s">
        <v>819</v>
      </c>
      <c r="J219" s="17">
        <v>0.8</v>
      </c>
      <c r="K219" s="17">
        <v>0</v>
      </c>
      <c r="L219" s="17">
        <v>0</v>
      </c>
      <c r="M219" s="35">
        <f>(IF(G219="",挂机玩法规划!$L$2,VLOOKUP(G219,物品id!A:D,4,FALSE)*IF(J219=0,1,4))*IF(J219=0,1,J219)+IF(H219="",挂机玩法规划!$L$2,VLOOKUP(H219,物品id!A:D,4,FALSE)*IF(K219=0,1,4))*IF(K219=0,1,K219)+IF(I219="",挂机玩法规划!$L$2,VLOOKUP(I219,物品id!A:D,4,FALSE)*IF(L219=0,1,4))*IF(L219=0,1,L219))/O219</f>
        <v>0.43333333333333335</v>
      </c>
      <c r="N219" s="44">
        <f>IF(G219="",挂机玩法规划!$L$2,VLOOKUP(G219,物品id!A:D,4,FALSE)*4)+IF(H219="",挂机玩法规划!$L$2,VLOOKUP(H219,物品id!A:D,4,FALSE)*4)+IF(I219="",挂机玩法规划!$L$2,VLOOKUP(I219,物品id!A:D,4,FALSE)*4)</f>
        <v>360</v>
      </c>
      <c r="O219" s="61">
        <v>360</v>
      </c>
      <c r="P219" s="60">
        <v>4</v>
      </c>
      <c r="Q219" s="60">
        <v>4</v>
      </c>
      <c r="R219" s="60">
        <v>4</v>
      </c>
      <c r="S219" s="60">
        <v>480</v>
      </c>
      <c r="T219" s="60" t="s">
        <v>835</v>
      </c>
      <c r="U219" s="60">
        <v>480</v>
      </c>
      <c r="V219" s="60" t="s">
        <v>837</v>
      </c>
      <c r="W219" s="60" t="s">
        <v>200</v>
      </c>
      <c r="X219" s="60">
        <v>3</v>
      </c>
      <c r="Y219" s="60">
        <f>U219*挂机玩法规划!$O$4*VLOOKUP(E219,挂机玩法规划!$G$2:$I$17,3,FALSE)</f>
        <v>2880</v>
      </c>
      <c r="Z219" s="17">
        <f t="shared" si="386"/>
        <v>1.3</v>
      </c>
      <c r="AA219" s="17">
        <f t="shared" si="387"/>
        <v>1248</v>
      </c>
      <c r="AB219" s="17">
        <f>(VLOOKUP(V219,物品id!A:E,5,FALSE)*挂机玩法填表!Z219+VLOOKUP(挂机玩法填表!W219,物品id!A:E,5,FALSE)*挂机玩法填表!AA219)/(U219/60)</f>
        <v>22.931999999999999</v>
      </c>
      <c r="AD219" s="60" t="str">
        <f>IF(G219="","",VLOOKUP(G219,物品id!$A:$B,2,FALSE)&amp;",")</f>
        <v>2311,</v>
      </c>
      <c r="AE219" s="60" t="str">
        <f>IF(H219="","",VLOOKUP(H219,物品id!$A:$B,2,FALSE)&amp;",")</f>
        <v>2321,</v>
      </c>
      <c r="AF219" s="60" t="str">
        <f>IF(I219="","",VLOOKUP(I219,物品id!$A:$B,2,FALSE)&amp;",")</f>
        <v>2331,</v>
      </c>
      <c r="AG219" s="60" t="str">
        <f t="shared" si="375"/>
        <v>2311,2321,2331,</v>
      </c>
      <c r="AH219" s="60" t="str">
        <f t="shared" si="376"/>
        <v>[2311,2321,2331]</v>
      </c>
      <c r="AI219" s="17" t="str">
        <f t="shared" si="388"/>
        <v>4,</v>
      </c>
      <c r="AJ219" s="17" t="str">
        <f t="shared" si="389"/>
        <v>4,</v>
      </c>
      <c r="AK219" s="17" t="str">
        <f t="shared" si="390"/>
        <v>4,</v>
      </c>
      <c r="AL219" s="60" t="str">
        <f t="shared" si="377"/>
        <v>4,4,4,</v>
      </c>
      <c r="AM219" s="60" t="str">
        <f t="shared" si="378"/>
        <v>[4,4,4]</v>
      </c>
      <c r="AN219" s="60" t="str">
        <f>VLOOKUP(T219,物品id!$A:$B,2,FALSE)&amp;","</f>
        <v>102,</v>
      </c>
      <c r="AO219" s="17" t="str">
        <f t="shared" si="391"/>
        <v>[102]</v>
      </c>
      <c r="AP219" s="60" t="str">
        <f t="shared" si="383"/>
        <v>480,</v>
      </c>
      <c r="AQ219" s="17" t="str">
        <f t="shared" si="392"/>
        <v>[480]</v>
      </c>
      <c r="AR219" s="60" t="str">
        <f>IF(V219="","",VLOOKUP(V219,物品id!$A:$B,2,FALSE)&amp;",")</f>
        <v>20033,</v>
      </c>
      <c r="AS219" s="60" t="str">
        <f>IF(W219="","",VLOOKUP(W219,物品id!$A:$B,2,FALSE)&amp;",")</f>
        <v>102,</v>
      </c>
      <c r="AT219" s="60" t="str">
        <f t="shared" si="379"/>
        <v>20033,102,</v>
      </c>
      <c r="AU219" s="60" t="str">
        <f t="shared" si="380"/>
        <v>[20033,102]</v>
      </c>
      <c r="AV219" s="60" t="str">
        <f t="shared" si="384"/>
        <v>3,</v>
      </c>
      <c r="AW219" s="60" t="str">
        <f t="shared" si="385"/>
        <v>2880,</v>
      </c>
      <c r="AX219" s="60" t="str">
        <f t="shared" si="381"/>
        <v>3,2880,</v>
      </c>
      <c r="AY219" s="60" t="str">
        <f t="shared" si="382"/>
        <v>[3,2880]</v>
      </c>
    </row>
    <row r="220" spans="1:51" s="60" customFormat="1" x14ac:dyDescent="0.2">
      <c r="A220" s="60">
        <v>5</v>
      </c>
      <c r="B220" s="60" t="s">
        <v>1132</v>
      </c>
      <c r="C220" s="60">
        <v>62</v>
      </c>
      <c r="D220" s="34" t="s">
        <v>1167</v>
      </c>
      <c r="E220" s="60" t="s">
        <v>1017</v>
      </c>
      <c r="F220" s="60">
        <v>3</v>
      </c>
      <c r="G220" s="60" t="s">
        <v>827</v>
      </c>
      <c r="H220" s="60" t="s">
        <v>828</v>
      </c>
      <c r="I220" s="60" t="s">
        <v>829</v>
      </c>
      <c r="J220" s="17">
        <v>0.8</v>
      </c>
      <c r="K220" s="17">
        <v>0</v>
      </c>
      <c r="L220" s="17">
        <v>0</v>
      </c>
      <c r="M220" s="35">
        <f>(IF(G220="",挂机玩法规划!$L$2,VLOOKUP(G220,物品id!A:D,4,FALSE)*IF(J220=0,1,4))*IF(J220=0,1,J220)+IF(H220="",挂机玩法规划!$L$2,VLOOKUP(H220,物品id!A:D,4,FALSE)*IF(K220=0,1,4))*IF(K220=0,1,K220)+IF(I220="",挂机玩法规划!$L$2,VLOOKUP(I220,物品id!A:D,4,FALSE)*IF(L220=0,1,4))*IF(L220=0,1,L220))/O220</f>
        <v>0.43333333333333335</v>
      </c>
      <c r="N220" s="44">
        <f>IF(G220="",挂机玩法规划!$L$2,VLOOKUP(G220,物品id!A:D,4,FALSE)*4)+IF(H220="",挂机玩法规划!$L$2,VLOOKUP(H220,物品id!A:D,4,FALSE)*4)+IF(I220="",挂机玩法规划!$L$2,VLOOKUP(I220,物品id!A:D,4,FALSE)*4)</f>
        <v>360</v>
      </c>
      <c r="O220" s="61">
        <v>360</v>
      </c>
      <c r="P220" s="60">
        <v>4</v>
      </c>
      <c r="Q220" s="60">
        <v>4</v>
      </c>
      <c r="R220" s="60">
        <v>4</v>
      </c>
      <c r="S220" s="60">
        <v>480</v>
      </c>
      <c r="T220" s="60" t="s">
        <v>835</v>
      </c>
      <c r="U220" s="60">
        <v>480</v>
      </c>
      <c r="V220" s="60" t="s">
        <v>837</v>
      </c>
      <c r="W220" s="60" t="s">
        <v>200</v>
      </c>
      <c r="X220" s="60">
        <v>3</v>
      </c>
      <c r="Y220" s="60">
        <f>U220*挂机玩法规划!$O$4*VLOOKUP(E220,挂机玩法规划!$G$2:$I$17,3,FALSE)</f>
        <v>2880</v>
      </c>
      <c r="Z220" s="17">
        <f t="shared" si="386"/>
        <v>1.3</v>
      </c>
      <c r="AA220" s="17">
        <f t="shared" si="387"/>
        <v>1248</v>
      </c>
      <c r="AB220" s="17">
        <f>(VLOOKUP(V220,物品id!A:E,5,FALSE)*挂机玩法填表!Z220+VLOOKUP(挂机玩法填表!W220,物品id!A:E,5,FALSE)*挂机玩法填表!AA220)/(U220/60)</f>
        <v>22.931999999999999</v>
      </c>
      <c r="AD220" s="60" t="str">
        <f>IF(G220="","",VLOOKUP(G220,物品id!$A:$B,2,FALSE)&amp;",")</f>
        <v>3311,</v>
      </c>
      <c r="AE220" s="60" t="str">
        <f>IF(H220="","",VLOOKUP(H220,物品id!$A:$B,2,FALSE)&amp;",")</f>
        <v>3321,</v>
      </c>
      <c r="AF220" s="60" t="str">
        <f>IF(I220="","",VLOOKUP(I220,物品id!$A:$B,2,FALSE)&amp;",")</f>
        <v>3331,</v>
      </c>
      <c r="AG220" s="60" t="str">
        <f t="shared" si="375"/>
        <v>3311,3321,3331,</v>
      </c>
      <c r="AH220" s="60" t="str">
        <f t="shared" si="376"/>
        <v>[3311,3321,3331]</v>
      </c>
      <c r="AI220" s="17" t="str">
        <f t="shared" si="388"/>
        <v>4,</v>
      </c>
      <c r="AJ220" s="17" t="str">
        <f t="shared" si="389"/>
        <v>4,</v>
      </c>
      <c r="AK220" s="17" t="str">
        <f t="shared" si="390"/>
        <v>4,</v>
      </c>
      <c r="AL220" s="60" t="str">
        <f t="shared" si="377"/>
        <v>4,4,4,</v>
      </c>
      <c r="AM220" s="60" t="str">
        <f t="shared" si="378"/>
        <v>[4,4,4]</v>
      </c>
      <c r="AN220" s="60" t="str">
        <f>VLOOKUP(T220,物品id!$A:$B,2,FALSE)&amp;","</f>
        <v>102,</v>
      </c>
      <c r="AO220" s="17" t="str">
        <f t="shared" si="391"/>
        <v>[102]</v>
      </c>
      <c r="AP220" s="60" t="str">
        <f t="shared" si="383"/>
        <v>480,</v>
      </c>
      <c r="AQ220" s="17" t="str">
        <f t="shared" si="392"/>
        <v>[480]</v>
      </c>
      <c r="AR220" s="60" t="str">
        <f>IF(V220="","",VLOOKUP(V220,物品id!$A:$B,2,FALSE)&amp;",")</f>
        <v>20033,</v>
      </c>
      <c r="AS220" s="60" t="str">
        <f>IF(W220="","",VLOOKUP(W220,物品id!$A:$B,2,FALSE)&amp;",")</f>
        <v>102,</v>
      </c>
      <c r="AT220" s="60" t="str">
        <f t="shared" si="379"/>
        <v>20033,102,</v>
      </c>
      <c r="AU220" s="60" t="str">
        <f t="shared" si="380"/>
        <v>[20033,102]</v>
      </c>
      <c r="AV220" s="60" t="str">
        <f t="shared" si="384"/>
        <v>3,</v>
      </c>
      <c r="AW220" s="60" t="str">
        <f t="shared" si="385"/>
        <v>2880,</v>
      </c>
      <c r="AX220" s="60" t="str">
        <f t="shared" si="381"/>
        <v>3,2880,</v>
      </c>
      <c r="AY220" s="60" t="str">
        <f t="shared" si="382"/>
        <v>[3,2880]</v>
      </c>
    </row>
    <row r="221" spans="1:51" s="60" customFormat="1" x14ac:dyDescent="0.2">
      <c r="A221" s="60">
        <v>5</v>
      </c>
      <c r="B221" s="60" t="s">
        <v>1132</v>
      </c>
      <c r="C221" s="60">
        <v>62</v>
      </c>
      <c r="D221" s="34" t="s">
        <v>1167</v>
      </c>
      <c r="E221" s="60" t="s">
        <v>1017</v>
      </c>
      <c r="F221" s="60">
        <v>3</v>
      </c>
      <c r="G221" s="60" t="s">
        <v>806</v>
      </c>
      <c r="H221" s="60" t="s">
        <v>807</v>
      </c>
      <c r="I221" s="60" t="s">
        <v>808</v>
      </c>
      <c r="J221" s="17">
        <v>0.8</v>
      </c>
      <c r="K221" s="17">
        <v>0</v>
      </c>
      <c r="L221" s="17">
        <v>0</v>
      </c>
      <c r="M221" s="35">
        <f>(IF(G221="",挂机玩法规划!$L$2,VLOOKUP(G221,物品id!A:D,4,FALSE)*IF(J221=0,1,4))*IF(J221=0,1,J221)+IF(H221="",挂机玩法规划!$L$2,VLOOKUP(H221,物品id!A:D,4,FALSE)*IF(K221=0,1,4))*IF(K221=0,1,K221)+IF(I221="",挂机玩法规划!$L$2,VLOOKUP(I221,物品id!A:D,4,FALSE)*IF(L221=0,1,4))*IF(L221=0,1,L221))/O221</f>
        <v>0.43333333333333335</v>
      </c>
      <c r="N221" s="44">
        <f>IF(G221="",挂机玩法规划!$L$2,VLOOKUP(G221,物品id!A:D,4,FALSE)*4)+IF(H221="",挂机玩法规划!$L$2,VLOOKUP(H221,物品id!A:D,4,FALSE)*4)+IF(I221="",挂机玩法规划!$L$2,VLOOKUP(I221,物品id!A:D,4,FALSE)*4)</f>
        <v>360</v>
      </c>
      <c r="O221" s="61">
        <v>360</v>
      </c>
      <c r="P221" s="60">
        <v>4</v>
      </c>
      <c r="Q221" s="60">
        <v>4</v>
      </c>
      <c r="R221" s="60">
        <v>4</v>
      </c>
      <c r="S221" s="60">
        <v>720</v>
      </c>
      <c r="T221" s="60" t="s">
        <v>835</v>
      </c>
      <c r="U221" s="60">
        <v>720</v>
      </c>
      <c r="V221" s="60" t="s">
        <v>837</v>
      </c>
      <c r="W221" s="60" t="s">
        <v>200</v>
      </c>
      <c r="X221" s="60">
        <v>4</v>
      </c>
      <c r="Y221" s="60">
        <f>U221*挂机玩法规划!$O$4*VLOOKUP(E221,挂机玩法规划!$G$2:$I$17,3,FALSE)</f>
        <v>4320</v>
      </c>
      <c r="Z221" s="17">
        <f t="shared" si="386"/>
        <v>1.7333333333333334</v>
      </c>
      <c r="AA221" s="17">
        <f t="shared" si="387"/>
        <v>1872</v>
      </c>
      <c r="AB221" s="17">
        <f>(VLOOKUP(V221,物品id!A:E,5,FALSE)*挂机玩法填表!Z221+VLOOKUP(挂机玩法填表!W221,物品id!A:E,5,FALSE)*挂机玩法填表!AA221)/(U221/60)</f>
        <v>20.765333333333334</v>
      </c>
      <c r="AD221" s="60" t="str">
        <f>IF(G221="","",VLOOKUP(G221,物品id!$A:$B,2,FALSE)&amp;",")</f>
        <v>1311,</v>
      </c>
      <c r="AE221" s="60" t="str">
        <f>IF(H221="","",VLOOKUP(H221,物品id!$A:$B,2,FALSE)&amp;",")</f>
        <v>1321,</v>
      </c>
      <c r="AF221" s="60" t="str">
        <f>IF(I221="","",VLOOKUP(I221,物品id!$A:$B,2,FALSE)&amp;",")</f>
        <v>1331,</v>
      </c>
      <c r="AG221" s="60" t="str">
        <f t="shared" si="375"/>
        <v>1311,1321,1331,</v>
      </c>
      <c r="AH221" s="60" t="str">
        <f t="shared" si="376"/>
        <v>[1311,1321,1331]</v>
      </c>
      <c r="AI221" s="17" t="str">
        <f t="shared" si="388"/>
        <v>4,</v>
      </c>
      <c r="AJ221" s="17" t="str">
        <f t="shared" si="389"/>
        <v>4,</v>
      </c>
      <c r="AK221" s="17" t="str">
        <f t="shared" si="390"/>
        <v>4,</v>
      </c>
      <c r="AL221" s="60" t="str">
        <f t="shared" si="377"/>
        <v>4,4,4,</v>
      </c>
      <c r="AM221" s="60" t="str">
        <f t="shared" si="378"/>
        <v>[4,4,4]</v>
      </c>
      <c r="AN221" s="60" t="str">
        <f>VLOOKUP(T221,物品id!$A:$B,2,FALSE)&amp;","</f>
        <v>102,</v>
      </c>
      <c r="AO221" s="17" t="str">
        <f t="shared" si="391"/>
        <v>[102]</v>
      </c>
      <c r="AP221" s="60" t="str">
        <f t="shared" si="383"/>
        <v>720,</v>
      </c>
      <c r="AQ221" s="17" t="str">
        <f t="shared" si="392"/>
        <v>[720]</v>
      </c>
      <c r="AR221" s="60" t="str">
        <f>IF(V221="","",VLOOKUP(V221,物品id!$A:$B,2,FALSE)&amp;",")</f>
        <v>20033,</v>
      </c>
      <c r="AS221" s="60" t="str">
        <f>IF(W221="","",VLOOKUP(W221,物品id!$A:$B,2,FALSE)&amp;",")</f>
        <v>102,</v>
      </c>
      <c r="AT221" s="60" t="str">
        <f t="shared" si="379"/>
        <v>20033,102,</v>
      </c>
      <c r="AU221" s="60" t="str">
        <f t="shared" si="380"/>
        <v>[20033,102]</v>
      </c>
      <c r="AV221" s="60" t="str">
        <f t="shared" si="384"/>
        <v>4,</v>
      </c>
      <c r="AW221" s="60" t="str">
        <f t="shared" si="385"/>
        <v>4320,</v>
      </c>
      <c r="AX221" s="60" t="str">
        <f t="shared" si="381"/>
        <v>4,4320,</v>
      </c>
      <c r="AY221" s="60" t="str">
        <f t="shared" si="382"/>
        <v>[4,4320]</v>
      </c>
    </row>
    <row r="222" spans="1:51" s="60" customFormat="1" x14ac:dyDescent="0.2">
      <c r="A222" s="60">
        <v>5</v>
      </c>
      <c r="B222" s="60" t="s">
        <v>1132</v>
      </c>
      <c r="C222" s="60">
        <v>62</v>
      </c>
      <c r="D222" s="34" t="s">
        <v>1167</v>
      </c>
      <c r="E222" s="60" t="s">
        <v>1017</v>
      </c>
      <c r="F222" s="60">
        <v>3</v>
      </c>
      <c r="G222" s="60" t="s">
        <v>817</v>
      </c>
      <c r="H222" s="60" t="s">
        <v>818</v>
      </c>
      <c r="I222" s="60" t="s">
        <v>819</v>
      </c>
      <c r="J222" s="17">
        <v>0.8</v>
      </c>
      <c r="K222" s="17">
        <v>0</v>
      </c>
      <c r="L222" s="17">
        <v>0</v>
      </c>
      <c r="M222" s="35">
        <f>(IF(G222="",挂机玩法规划!$L$2,VLOOKUP(G222,物品id!A:D,4,FALSE)*IF(J222=0,1,4))*IF(J222=0,1,J222)+IF(H222="",挂机玩法规划!$L$2,VLOOKUP(H222,物品id!A:D,4,FALSE)*IF(K222=0,1,4))*IF(K222=0,1,K222)+IF(I222="",挂机玩法规划!$L$2,VLOOKUP(I222,物品id!A:D,4,FALSE)*IF(L222=0,1,4))*IF(L222=0,1,L222))/O222</f>
        <v>0.43333333333333335</v>
      </c>
      <c r="N222" s="44">
        <f>IF(G222="",挂机玩法规划!$L$2,VLOOKUP(G222,物品id!A:D,4,FALSE)*4)+IF(H222="",挂机玩法规划!$L$2,VLOOKUP(H222,物品id!A:D,4,FALSE)*4)+IF(I222="",挂机玩法规划!$L$2,VLOOKUP(I222,物品id!A:D,4,FALSE)*4)</f>
        <v>360</v>
      </c>
      <c r="O222" s="61">
        <v>360</v>
      </c>
      <c r="P222" s="60">
        <v>4</v>
      </c>
      <c r="Q222" s="60">
        <v>4</v>
      </c>
      <c r="R222" s="60">
        <v>4</v>
      </c>
      <c r="S222" s="60">
        <v>720</v>
      </c>
      <c r="T222" s="60" t="s">
        <v>835</v>
      </c>
      <c r="U222" s="60">
        <v>720</v>
      </c>
      <c r="V222" s="60" t="s">
        <v>837</v>
      </c>
      <c r="W222" s="60" t="s">
        <v>200</v>
      </c>
      <c r="X222" s="60">
        <v>4</v>
      </c>
      <c r="Y222" s="60">
        <f>U222*挂机玩法规划!$O$4*VLOOKUP(E222,挂机玩法规划!$G$2:$I$17,3,FALSE)</f>
        <v>4320</v>
      </c>
      <c r="Z222" s="17">
        <f t="shared" si="386"/>
        <v>1.7333333333333334</v>
      </c>
      <c r="AA222" s="17">
        <f t="shared" si="387"/>
        <v>1872</v>
      </c>
      <c r="AB222" s="17">
        <f>(VLOOKUP(V222,物品id!A:E,5,FALSE)*挂机玩法填表!Z222+VLOOKUP(挂机玩法填表!W222,物品id!A:E,5,FALSE)*挂机玩法填表!AA222)/(U222/60)</f>
        <v>20.765333333333334</v>
      </c>
      <c r="AD222" s="60" t="str">
        <f>IF(G222="","",VLOOKUP(G222,物品id!$A:$B,2,FALSE)&amp;",")</f>
        <v>2311,</v>
      </c>
      <c r="AE222" s="60" t="str">
        <f>IF(H222="","",VLOOKUP(H222,物品id!$A:$B,2,FALSE)&amp;",")</f>
        <v>2321,</v>
      </c>
      <c r="AF222" s="60" t="str">
        <f>IF(I222="","",VLOOKUP(I222,物品id!$A:$B,2,FALSE)&amp;",")</f>
        <v>2331,</v>
      </c>
      <c r="AG222" s="60" t="str">
        <f t="shared" si="375"/>
        <v>2311,2321,2331,</v>
      </c>
      <c r="AH222" s="60" t="str">
        <f t="shared" si="376"/>
        <v>[2311,2321,2331]</v>
      </c>
      <c r="AI222" s="17" t="str">
        <f t="shared" si="388"/>
        <v>4,</v>
      </c>
      <c r="AJ222" s="17" t="str">
        <f t="shared" si="389"/>
        <v>4,</v>
      </c>
      <c r="AK222" s="17" t="str">
        <f t="shared" si="390"/>
        <v>4,</v>
      </c>
      <c r="AL222" s="60" t="str">
        <f t="shared" si="377"/>
        <v>4,4,4,</v>
      </c>
      <c r="AM222" s="60" t="str">
        <f t="shared" si="378"/>
        <v>[4,4,4]</v>
      </c>
      <c r="AN222" s="60" t="str">
        <f>VLOOKUP(T222,物品id!$A:$B,2,FALSE)&amp;","</f>
        <v>102,</v>
      </c>
      <c r="AO222" s="17" t="str">
        <f t="shared" si="391"/>
        <v>[102]</v>
      </c>
      <c r="AP222" s="60" t="str">
        <f t="shared" si="383"/>
        <v>720,</v>
      </c>
      <c r="AQ222" s="17" t="str">
        <f t="shared" si="392"/>
        <v>[720]</v>
      </c>
      <c r="AR222" s="60" t="str">
        <f>IF(V222="","",VLOOKUP(V222,物品id!$A:$B,2,FALSE)&amp;",")</f>
        <v>20033,</v>
      </c>
      <c r="AS222" s="60" t="str">
        <f>IF(W222="","",VLOOKUP(W222,物品id!$A:$B,2,FALSE)&amp;",")</f>
        <v>102,</v>
      </c>
      <c r="AT222" s="60" t="str">
        <f t="shared" si="379"/>
        <v>20033,102,</v>
      </c>
      <c r="AU222" s="60" t="str">
        <f t="shared" si="380"/>
        <v>[20033,102]</v>
      </c>
      <c r="AV222" s="60" t="str">
        <f t="shared" si="384"/>
        <v>4,</v>
      </c>
      <c r="AW222" s="60" t="str">
        <f t="shared" si="385"/>
        <v>4320,</v>
      </c>
      <c r="AX222" s="60" t="str">
        <f t="shared" si="381"/>
        <v>4,4320,</v>
      </c>
      <c r="AY222" s="60" t="str">
        <f t="shared" si="382"/>
        <v>[4,4320]</v>
      </c>
    </row>
    <row r="223" spans="1:51" s="60" customFormat="1" x14ac:dyDescent="0.2">
      <c r="A223" s="60">
        <v>5</v>
      </c>
      <c r="B223" s="60" t="s">
        <v>1132</v>
      </c>
      <c r="C223" s="60">
        <v>62</v>
      </c>
      <c r="D223" s="34" t="s">
        <v>1167</v>
      </c>
      <c r="E223" s="60" t="s">
        <v>1017</v>
      </c>
      <c r="F223" s="60">
        <v>3</v>
      </c>
      <c r="G223" s="60" t="s">
        <v>827</v>
      </c>
      <c r="H223" s="60" t="s">
        <v>828</v>
      </c>
      <c r="I223" s="60" t="s">
        <v>829</v>
      </c>
      <c r="J223" s="17">
        <v>0.8</v>
      </c>
      <c r="K223" s="17">
        <v>0</v>
      </c>
      <c r="L223" s="17">
        <v>0</v>
      </c>
      <c r="M223" s="35">
        <f>(IF(G223="",挂机玩法规划!$L$2,VLOOKUP(G223,物品id!A:D,4,FALSE)*IF(J223=0,1,4))*IF(J223=0,1,J223)+IF(H223="",挂机玩法规划!$L$2,VLOOKUP(H223,物品id!A:D,4,FALSE)*IF(K223=0,1,4))*IF(K223=0,1,K223)+IF(I223="",挂机玩法规划!$L$2,VLOOKUP(I223,物品id!A:D,4,FALSE)*IF(L223=0,1,4))*IF(L223=0,1,L223))/O223</f>
        <v>0.43333333333333335</v>
      </c>
      <c r="N223" s="44">
        <f>IF(G223="",挂机玩法规划!$L$2,VLOOKUP(G223,物品id!A:D,4,FALSE)*4)+IF(H223="",挂机玩法规划!$L$2,VLOOKUP(H223,物品id!A:D,4,FALSE)*4)+IF(I223="",挂机玩法规划!$L$2,VLOOKUP(I223,物品id!A:D,4,FALSE)*4)</f>
        <v>360</v>
      </c>
      <c r="O223" s="61">
        <v>360</v>
      </c>
      <c r="P223" s="60">
        <v>4</v>
      </c>
      <c r="Q223" s="60">
        <v>4</v>
      </c>
      <c r="R223" s="60">
        <v>4</v>
      </c>
      <c r="S223" s="60">
        <v>720</v>
      </c>
      <c r="T223" s="60" t="s">
        <v>835</v>
      </c>
      <c r="U223" s="60">
        <v>720</v>
      </c>
      <c r="V223" s="60" t="s">
        <v>837</v>
      </c>
      <c r="W223" s="60" t="s">
        <v>200</v>
      </c>
      <c r="X223" s="60">
        <v>4</v>
      </c>
      <c r="Y223" s="60">
        <f>U223*挂机玩法规划!$O$4*VLOOKUP(E223,挂机玩法规划!$G$2:$I$17,3,FALSE)</f>
        <v>4320</v>
      </c>
      <c r="Z223" s="17">
        <f t="shared" si="386"/>
        <v>1.7333333333333334</v>
      </c>
      <c r="AA223" s="17">
        <f t="shared" si="387"/>
        <v>1872</v>
      </c>
      <c r="AB223" s="17">
        <f>(VLOOKUP(V223,物品id!A:E,5,FALSE)*挂机玩法填表!Z223+VLOOKUP(挂机玩法填表!W223,物品id!A:E,5,FALSE)*挂机玩法填表!AA223)/(U223/60)</f>
        <v>20.765333333333334</v>
      </c>
      <c r="AD223" s="60" t="str">
        <f>IF(G223="","",VLOOKUP(G223,物品id!$A:$B,2,FALSE)&amp;",")</f>
        <v>3311,</v>
      </c>
      <c r="AE223" s="60" t="str">
        <f>IF(H223="","",VLOOKUP(H223,物品id!$A:$B,2,FALSE)&amp;",")</f>
        <v>3321,</v>
      </c>
      <c r="AF223" s="60" t="str">
        <f>IF(I223="","",VLOOKUP(I223,物品id!$A:$B,2,FALSE)&amp;",")</f>
        <v>3331,</v>
      </c>
      <c r="AG223" s="60" t="str">
        <f t="shared" si="375"/>
        <v>3311,3321,3331,</v>
      </c>
      <c r="AH223" s="60" t="str">
        <f t="shared" si="376"/>
        <v>[3311,3321,3331]</v>
      </c>
      <c r="AI223" s="17" t="str">
        <f t="shared" si="388"/>
        <v>4,</v>
      </c>
      <c r="AJ223" s="17" t="str">
        <f t="shared" si="389"/>
        <v>4,</v>
      </c>
      <c r="AK223" s="17" t="str">
        <f t="shared" si="390"/>
        <v>4,</v>
      </c>
      <c r="AL223" s="60" t="str">
        <f t="shared" si="377"/>
        <v>4,4,4,</v>
      </c>
      <c r="AM223" s="60" t="str">
        <f t="shared" si="378"/>
        <v>[4,4,4]</v>
      </c>
      <c r="AN223" s="60" t="str">
        <f>VLOOKUP(T223,物品id!$A:$B,2,FALSE)&amp;","</f>
        <v>102,</v>
      </c>
      <c r="AO223" s="17" t="str">
        <f t="shared" si="391"/>
        <v>[102]</v>
      </c>
      <c r="AP223" s="60" t="str">
        <f t="shared" si="383"/>
        <v>720,</v>
      </c>
      <c r="AQ223" s="17" t="str">
        <f t="shared" si="392"/>
        <v>[720]</v>
      </c>
      <c r="AR223" s="60" t="str">
        <f>IF(V223="","",VLOOKUP(V223,物品id!$A:$B,2,FALSE)&amp;",")</f>
        <v>20033,</v>
      </c>
      <c r="AS223" s="60" t="str">
        <f>IF(W223="","",VLOOKUP(W223,物品id!$A:$B,2,FALSE)&amp;",")</f>
        <v>102,</v>
      </c>
      <c r="AT223" s="60" t="str">
        <f t="shared" si="379"/>
        <v>20033,102,</v>
      </c>
      <c r="AU223" s="60" t="str">
        <f t="shared" si="380"/>
        <v>[20033,102]</v>
      </c>
      <c r="AV223" s="60" t="str">
        <f t="shared" si="384"/>
        <v>4,</v>
      </c>
      <c r="AW223" s="60" t="str">
        <f t="shared" si="385"/>
        <v>4320,</v>
      </c>
      <c r="AX223" s="60" t="str">
        <f t="shared" si="381"/>
        <v>4,4320,</v>
      </c>
      <c r="AY223" s="60" t="str">
        <f t="shared" si="382"/>
        <v>[4,4320]</v>
      </c>
    </row>
    <row r="224" spans="1:51" s="60" customFormat="1" x14ac:dyDescent="0.2">
      <c r="A224" s="60">
        <v>6</v>
      </c>
      <c r="B224" s="60" t="s">
        <v>1132</v>
      </c>
      <c r="C224" s="60">
        <v>63</v>
      </c>
      <c r="D224" s="34" t="s">
        <v>1168</v>
      </c>
      <c r="E224" s="60" t="s">
        <v>1017</v>
      </c>
      <c r="F224" s="60">
        <v>3</v>
      </c>
      <c r="G224" s="60" t="s">
        <v>806</v>
      </c>
      <c r="H224" s="60" t="s">
        <v>807</v>
      </c>
      <c r="I224" s="60" t="s">
        <v>809</v>
      </c>
      <c r="J224" s="17">
        <v>0.8</v>
      </c>
      <c r="K224" s="17">
        <v>0</v>
      </c>
      <c r="L224" s="17">
        <v>0</v>
      </c>
      <c r="M224" s="35">
        <f>(IF(G224="",挂机玩法规划!$L$2,VLOOKUP(G224,物品id!A:D,4,FALSE)*IF(J224=0,1,4))*IF(J224=0,1,J224)+IF(H224="",挂机玩法规划!$L$2,VLOOKUP(H224,物品id!A:D,4,FALSE)*IF(K224=0,1,4))*IF(K224=0,1,K224)+IF(I224="",挂机玩法规划!$L$2,VLOOKUP(I224,物品id!A:D,4,FALSE)*IF(L224=0,1,4))*IF(L224=0,1,L224))/O224</f>
        <v>0.43333333333333335</v>
      </c>
      <c r="N224" s="44">
        <f>IF(G224="",挂机玩法规划!$L$2,VLOOKUP(G224,物品id!A:D,4,FALSE)*4)+IF(H224="",挂机玩法规划!$L$2,VLOOKUP(H224,物品id!A:D,4,FALSE)*4)+IF(I224="",挂机玩法规划!$L$2,VLOOKUP(I224,物品id!A:D,4,FALSE)*4)</f>
        <v>360</v>
      </c>
      <c r="O224" s="61">
        <v>360</v>
      </c>
      <c r="P224" s="60">
        <v>4</v>
      </c>
      <c r="Q224" s="60">
        <v>4</v>
      </c>
      <c r="R224" s="60">
        <v>4</v>
      </c>
      <c r="S224" s="60">
        <v>120</v>
      </c>
      <c r="T224" s="60" t="s">
        <v>835</v>
      </c>
      <c r="U224" s="60">
        <v>120</v>
      </c>
      <c r="V224" s="60" t="s">
        <v>837</v>
      </c>
      <c r="W224" s="60" t="s">
        <v>200</v>
      </c>
      <c r="X224" s="60">
        <v>1</v>
      </c>
      <c r="Y224" s="60">
        <f>U224*挂机玩法规划!$O$4*VLOOKUP(E224,挂机玩法规划!$G$2:$I$17,3,FALSE)</f>
        <v>720</v>
      </c>
      <c r="Z224" s="17">
        <f t="shared" si="386"/>
        <v>0.43333333333333335</v>
      </c>
      <c r="AA224" s="17">
        <f t="shared" si="387"/>
        <v>312</v>
      </c>
      <c r="AB224" s="17">
        <f>(VLOOKUP(V224,物品id!A:E,5,FALSE)*挂机玩法填表!Z224+VLOOKUP(挂机玩法填表!W224,物品id!A:E,5,FALSE)*挂机玩法填表!AA224)/(U224/60)</f>
        <v>29.431999999999999</v>
      </c>
      <c r="AD224" s="60" t="str">
        <f>IF(G224="","",VLOOKUP(G224,物品id!$A:$B,2,FALSE)&amp;",")</f>
        <v>1311,</v>
      </c>
      <c r="AE224" s="60" t="str">
        <f>IF(H224="","",VLOOKUP(H224,物品id!$A:$B,2,FALSE)&amp;",")</f>
        <v>1321,</v>
      </c>
      <c r="AF224" s="60" t="str">
        <f>IF(I224="","",VLOOKUP(I224,物品id!$A:$B,2,FALSE)&amp;",")</f>
        <v>1341,</v>
      </c>
      <c r="AG224" s="60" t="str">
        <f t="shared" si="375"/>
        <v>1311,1321,1341,</v>
      </c>
      <c r="AH224" s="60" t="str">
        <f t="shared" si="376"/>
        <v>[1311,1321,1341]</v>
      </c>
      <c r="AI224" s="17" t="str">
        <f t="shared" si="388"/>
        <v>4,</v>
      </c>
      <c r="AJ224" s="17" t="str">
        <f t="shared" si="389"/>
        <v>4,</v>
      </c>
      <c r="AK224" s="17" t="str">
        <f t="shared" si="390"/>
        <v>4,</v>
      </c>
      <c r="AL224" s="60" t="str">
        <f t="shared" si="377"/>
        <v>4,4,4,</v>
      </c>
      <c r="AM224" s="60" t="str">
        <f t="shared" si="378"/>
        <v>[4,4,4]</v>
      </c>
      <c r="AN224" s="60" t="str">
        <f>VLOOKUP(T224,物品id!$A:$B,2,FALSE)&amp;","</f>
        <v>102,</v>
      </c>
      <c r="AO224" s="17" t="str">
        <f t="shared" si="391"/>
        <v>[102]</v>
      </c>
      <c r="AP224" s="60" t="str">
        <f t="shared" si="383"/>
        <v>120,</v>
      </c>
      <c r="AQ224" s="17" t="str">
        <f t="shared" si="392"/>
        <v>[120]</v>
      </c>
      <c r="AR224" s="60" t="str">
        <f>IF(V224="","",VLOOKUP(V224,物品id!$A:$B,2,FALSE)&amp;",")</f>
        <v>20033,</v>
      </c>
      <c r="AS224" s="60" t="str">
        <f>IF(W224="","",VLOOKUP(W224,物品id!$A:$B,2,FALSE)&amp;",")</f>
        <v>102,</v>
      </c>
      <c r="AT224" s="60" t="str">
        <f t="shared" si="379"/>
        <v>20033,102,</v>
      </c>
      <c r="AU224" s="60" t="str">
        <f t="shared" si="380"/>
        <v>[20033,102]</v>
      </c>
      <c r="AV224" s="60" t="str">
        <f t="shared" si="384"/>
        <v>1,</v>
      </c>
      <c r="AW224" s="60" t="str">
        <f t="shared" si="385"/>
        <v>720,</v>
      </c>
      <c r="AX224" s="60" t="str">
        <f t="shared" si="381"/>
        <v>1,720,</v>
      </c>
      <c r="AY224" s="60" t="str">
        <f t="shared" si="382"/>
        <v>[1,720]</v>
      </c>
    </row>
    <row r="225" spans="1:51" s="60" customFormat="1" x14ac:dyDescent="0.2">
      <c r="A225" s="60">
        <v>6</v>
      </c>
      <c r="B225" s="60" t="s">
        <v>1132</v>
      </c>
      <c r="C225" s="60">
        <v>63</v>
      </c>
      <c r="D225" s="34" t="s">
        <v>1168</v>
      </c>
      <c r="E225" s="60" t="s">
        <v>1017</v>
      </c>
      <c r="F225" s="60">
        <v>3</v>
      </c>
      <c r="G225" s="60" t="s">
        <v>817</v>
      </c>
      <c r="H225" s="60" t="s">
        <v>818</v>
      </c>
      <c r="I225" s="60" t="s">
        <v>221</v>
      </c>
      <c r="J225" s="17">
        <v>0.8</v>
      </c>
      <c r="K225" s="17">
        <v>0</v>
      </c>
      <c r="L225" s="17">
        <v>0</v>
      </c>
      <c r="M225" s="35">
        <f>(IF(G225="",挂机玩法规划!$L$2,VLOOKUP(G225,物品id!A:D,4,FALSE)*IF(J225=0,1,4))*IF(J225=0,1,J225)+IF(H225="",挂机玩法规划!$L$2,VLOOKUP(H225,物品id!A:D,4,FALSE)*IF(K225=0,1,4))*IF(K225=0,1,K225)+IF(I225="",挂机玩法规划!$L$2,VLOOKUP(I225,物品id!A:D,4,FALSE)*IF(L225=0,1,4))*IF(L225=0,1,L225))/O225</f>
        <v>0.43333333333333335</v>
      </c>
      <c r="N225" s="44">
        <f>IF(G225="",挂机玩法规划!$L$2,VLOOKUP(G225,物品id!A:D,4,FALSE)*4)+IF(H225="",挂机玩法规划!$L$2,VLOOKUP(H225,物品id!A:D,4,FALSE)*4)+IF(I225="",挂机玩法规划!$L$2,VLOOKUP(I225,物品id!A:D,4,FALSE)*4)</f>
        <v>360</v>
      </c>
      <c r="O225" s="61">
        <v>360</v>
      </c>
      <c r="P225" s="60">
        <v>4</v>
      </c>
      <c r="Q225" s="60">
        <v>4</v>
      </c>
      <c r="R225" s="60">
        <v>4</v>
      </c>
      <c r="S225" s="60">
        <v>120</v>
      </c>
      <c r="T225" s="60" t="s">
        <v>835</v>
      </c>
      <c r="U225" s="60">
        <v>120</v>
      </c>
      <c r="V225" s="60" t="s">
        <v>837</v>
      </c>
      <c r="W225" s="60" t="s">
        <v>200</v>
      </c>
      <c r="X225" s="60">
        <v>1</v>
      </c>
      <c r="Y225" s="60">
        <f>U225*挂机玩法规划!$O$4*VLOOKUP(E225,挂机玩法规划!$G$2:$I$17,3,FALSE)</f>
        <v>720</v>
      </c>
      <c r="Z225" s="17">
        <f t="shared" si="386"/>
        <v>0.43333333333333335</v>
      </c>
      <c r="AA225" s="17">
        <f t="shared" si="387"/>
        <v>312</v>
      </c>
      <c r="AB225" s="17">
        <f>(VLOOKUP(V225,物品id!A:E,5,FALSE)*挂机玩法填表!Z225+VLOOKUP(挂机玩法填表!W225,物品id!A:E,5,FALSE)*挂机玩法填表!AA225)/(U225/60)</f>
        <v>29.431999999999999</v>
      </c>
      <c r="AD225" s="60" t="str">
        <f>IF(G225="","",VLOOKUP(G225,物品id!$A:$B,2,FALSE)&amp;",")</f>
        <v>2311,</v>
      </c>
      <c r="AE225" s="60" t="str">
        <f>IF(H225="","",VLOOKUP(H225,物品id!$A:$B,2,FALSE)&amp;",")</f>
        <v>2321,</v>
      </c>
      <c r="AF225" s="60" t="str">
        <f>IF(I225="","",VLOOKUP(I225,物品id!$A:$B,2,FALSE)&amp;",")</f>
        <v>2341,</v>
      </c>
      <c r="AG225" s="60" t="str">
        <f t="shared" si="375"/>
        <v>2311,2321,2341,</v>
      </c>
      <c r="AH225" s="60" t="str">
        <f t="shared" si="376"/>
        <v>[2311,2321,2341]</v>
      </c>
      <c r="AI225" s="17" t="str">
        <f t="shared" si="388"/>
        <v>4,</v>
      </c>
      <c r="AJ225" s="17" t="str">
        <f t="shared" si="389"/>
        <v>4,</v>
      </c>
      <c r="AK225" s="17" t="str">
        <f t="shared" si="390"/>
        <v>4,</v>
      </c>
      <c r="AL225" s="60" t="str">
        <f t="shared" si="377"/>
        <v>4,4,4,</v>
      </c>
      <c r="AM225" s="60" t="str">
        <f t="shared" si="378"/>
        <v>[4,4,4]</v>
      </c>
      <c r="AN225" s="60" t="str">
        <f>VLOOKUP(T225,物品id!$A:$B,2,FALSE)&amp;","</f>
        <v>102,</v>
      </c>
      <c r="AO225" s="17" t="str">
        <f t="shared" si="391"/>
        <v>[102]</v>
      </c>
      <c r="AP225" s="60" t="str">
        <f t="shared" si="383"/>
        <v>120,</v>
      </c>
      <c r="AQ225" s="17" t="str">
        <f t="shared" si="392"/>
        <v>[120]</v>
      </c>
      <c r="AR225" s="60" t="str">
        <f>IF(V225="","",VLOOKUP(V225,物品id!$A:$B,2,FALSE)&amp;",")</f>
        <v>20033,</v>
      </c>
      <c r="AS225" s="60" t="str">
        <f>IF(W225="","",VLOOKUP(W225,物品id!$A:$B,2,FALSE)&amp;",")</f>
        <v>102,</v>
      </c>
      <c r="AT225" s="60" t="str">
        <f t="shared" si="379"/>
        <v>20033,102,</v>
      </c>
      <c r="AU225" s="60" t="str">
        <f t="shared" si="380"/>
        <v>[20033,102]</v>
      </c>
      <c r="AV225" s="60" t="str">
        <f t="shared" si="384"/>
        <v>1,</v>
      </c>
      <c r="AW225" s="60" t="str">
        <f t="shared" si="385"/>
        <v>720,</v>
      </c>
      <c r="AX225" s="60" t="str">
        <f t="shared" si="381"/>
        <v>1,720,</v>
      </c>
      <c r="AY225" s="60" t="str">
        <f t="shared" si="382"/>
        <v>[1,720]</v>
      </c>
    </row>
    <row r="226" spans="1:51" s="60" customFormat="1" x14ac:dyDescent="0.2">
      <c r="A226" s="60">
        <v>6</v>
      </c>
      <c r="B226" s="60" t="s">
        <v>1132</v>
      </c>
      <c r="C226" s="60">
        <v>63</v>
      </c>
      <c r="D226" s="34" t="s">
        <v>1168</v>
      </c>
      <c r="E226" s="60" t="s">
        <v>1017</v>
      </c>
      <c r="F226" s="60">
        <v>3</v>
      </c>
      <c r="G226" s="60" t="s">
        <v>827</v>
      </c>
      <c r="H226" s="60" t="s">
        <v>828</v>
      </c>
      <c r="I226" s="60" t="s">
        <v>830</v>
      </c>
      <c r="J226" s="17">
        <v>0.8</v>
      </c>
      <c r="K226" s="17">
        <v>0</v>
      </c>
      <c r="L226" s="17">
        <v>0</v>
      </c>
      <c r="M226" s="35">
        <f>(IF(G226="",挂机玩法规划!$L$2,VLOOKUP(G226,物品id!A:D,4,FALSE)*IF(J226=0,1,4))*IF(J226=0,1,J226)+IF(H226="",挂机玩法规划!$L$2,VLOOKUP(H226,物品id!A:D,4,FALSE)*IF(K226=0,1,4))*IF(K226=0,1,K226)+IF(I226="",挂机玩法规划!$L$2,VLOOKUP(I226,物品id!A:D,4,FALSE)*IF(L226=0,1,4))*IF(L226=0,1,L226))/O226</f>
        <v>0.43333333333333335</v>
      </c>
      <c r="N226" s="44">
        <f>IF(G226="",挂机玩法规划!$L$2,VLOOKUP(G226,物品id!A:D,4,FALSE)*4)+IF(H226="",挂机玩法规划!$L$2,VLOOKUP(H226,物品id!A:D,4,FALSE)*4)+IF(I226="",挂机玩法规划!$L$2,VLOOKUP(I226,物品id!A:D,4,FALSE)*4)</f>
        <v>360</v>
      </c>
      <c r="O226" s="61">
        <v>360</v>
      </c>
      <c r="P226" s="60">
        <v>4</v>
      </c>
      <c r="Q226" s="60">
        <v>4</v>
      </c>
      <c r="R226" s="60">
        <v>4</v>
      </c>
      <c r="S226" s="60">
        <v>120</v>
      </c>
      <c r="T226" s="60" t="s">
        <v>835</v>
      </c>
      <c r="U226" s="60">
        <v>120</v>
      </c>
      <c r="V226" s="60" t="s">
        <v>837</v>
      </c>
      <c r="W226" s="60" t="s">
        <v>200</v>
      </c>
      <c r="X226" s="60">
        <v>1</v>
      </c>
      <c r="Y226" s="60">
        <f>U226*挂机玩法规划!$O$4*VLOOKUP(E226,挂机玩法规划!$G$2:$I$17,3,FALSE)</f>
        <v>720</v>
      </c>
      <c r="Z226" s="17">
        <f t="shared" si="386"/>
        <v>0.43333333333333335</v>
      </c>
      <c r="AA226" s="17">
        <f t="shared" si="387"/>
        <v>312</v>
      </c>
      <c r="AB226" s="17">
        <f>(VLOOKUP(V226,物品id!A:E,5,FALSE)*挂机玩法填表!Z226+VLOOKUP(挂机玩法填表!W226,物品id!A:E,5,FALSE)*挂机玩法填表!AA226)/(U226/60)</f>
        <v>29.431999999999999</v>
      </c>
      <c r="AD226" s="60" t="str">
        <f>IF(G226="","",VLOOKUP(G226,物品id!$A:$B,2,FALSE)&amp;",")</f>
        <v>3311,</v>
      </c>
      <c r="AE226" s="60" t="str">
        <f>IF(H226="","",VLOOKUP(H226,物品id!$A:$B,2,FALSE)&amp;",")</f>
        <v>3321,</v>
      </c>
      <c r="AF226" s="60" t="str">
        <f>IF(I226="","",VLOOKUP(I226,物品id!$A:$B,2,FALSE)&amp;",")</f>
        <v>3341,</v>
      </c>
      <c r="AG226" s="60" t="str">
        <f t="shared" si="375"/>
        <v>3311,3321,3341,</v>
      </c>
      <c r="AH226" s="60" t="str">
        <f t="shared" si="376"/>
        <v>[3311,3321,3341]</v>
      </c>
      <c r="AI226" s="17" t="str">
        <f t="shared" si="388"/>
        <v>4,</v>
      </c>
      <c r="AJ226" s="17" t="str">
        <f t="shared" si="389"/>
        <v>4,</v>
      </c>
      <c r="AK226" s="17" t="str">
        <f t="shared" si="390"/>
        <v>4,</v>
      </c>
      <c r="AL226" s="60" t="str">
        <f t="shared" si="377"/>
        <v>4,4,4,</v>
      </c>
      <c r="AM226" s="60" t="str">
        <f t="shared" si="378"/>
        <v>[4,4,4]</v>
      </c>
      <c r="AN226" s="60" t="str">
        <f>VLOOKUP(T226,物品id!$A:$B,2,FALSE)&amp;","</f>
        <v>102,</v>
      </c>
      <c r="AO226" s="17" t="str">
        <f t="shared" si="391"/>
        <v>[102]</v>
      </c>
      <c r="AP226" s="60" t="str">
        <f t="shared" si="383"/>
        <v>120,</v>
      </c>
      <c r="AQ226" s="17" t="str">
        <f t="shared" si="392"/>
        <v>[120]</v>
      </c>
      <c r="AR226" s="60" t="str">
        <f>IF(V226="","",VLOOKUP(V226,物品id!$A:$B,2,FALSE)&amp;",")</f>
        <v>20033,</v>
      </c>
      <c r="AS226" s="60" t="str">
        <f>IF(W226="","",VLOOKUP(W226,物品id!$A:$B,2,FALSE)&amp;",")</f>
        <v>102,</v>
      </c>
      <c r="AT226" s="60" t="str">
        <f t="shared" si="379"/>
        <v>20033,102,</v>
      </c>
      <c r="AU226" s="60" t="str">
        <f t="shared" si="380"/>
        <v>[20033,102]</v>
      </c>
      <c r="AV226" s="60" t="str">
        <f t="shared" si="384"/>
        <v>1,</v>
      </c>
      <c r="AW226" s="60" t="str">
        <f t="shared" si="385"/>
        <v>720,</v>
      </c>
      <c r="AX226" s="60" t="str">
        <f t="shared" si="381"/>
        <v>1,720,</v>
      </c>
      <c r="AY226" s="60" t="str">
        <f t="shared" si="382"/>
        <v>[1,720]</v>
      </c>
    </row>
    <row r="227" spans="1:51" s="60" customFormat="1" x14ac:dyDescent="0.2">
      <c r="A227" s="60">
        <v>6</v>
      </c>
      <c r="B227" s="60" t="s">
        <v>1132</v>
      </c>
      <c r="C227" s="60">
        <v>63</v>
      </c>
      <c r="D227" s="34" t="s">
        <v>1168</v>
      </c>
      <c r="E227" s="60" t="s">
        <v>1017</v>
      </c>
      <c r="F227" s="60">
        <v>3</v>
      </c>
      <c r="G227" s="60" t="s">
        <v>806</v>
      </c>
      <c r="H227" s="60" t="s">
        <v>807</v>
      </c>
      <c r="I227" s="60" t="s">
        <v>809</v>
      </c>
      <c r="J227" s="17">
        <v>0.8</v>
      </c>
      <c r="K227" s="17">
        <v>0</v>
      </c>
      <c r="L227" s="17">
        <v>0</v>
      </c>
      <c r="M227" s="35">
        <f>(IF(G227="",挂机玩法规划!$L$2,VLOOKUP(G227,物品id!A:D,4,FALSE)*IF(J227=0,1,4))*IF(J227=0,1,J227)+IF(H227="",挂机玩法规划!$L$2,VLOOKUP(H227,物品id!A:D,4,FALSE)*IF(K227=0,1,4))*IF(K227=0,1,K227)+IF(I227="",挂机玩法规划!$L$2,VLOOKUP(I227,物品id!A:D,4,FALSE)*IF(L227=0,1,4))*IF(L227=0,1,L227))/O227</f>
        <v>0.43333333333333335</v>
      </c>
      <c r="N227" s="44">
        <f>IF(G227="",挂机玩法规划!$L$2,VLOOKUP(G227,物品id!A:D,4,FALSE)*4)+IF(H227="",挂机玩法规划!$L$2,VLOOKUP(H227,物品id!A:D,4,FALSE)*4)+IF(I227="",挂机玩法规划!$L$2,VLOOKUP(I227,物品id!A:D,4,FALSE)*4)</f>
        <v>360</v>
      </c>
      <c r="O227" s="61">
        <v>360</v>
      </c>
      <c r="P227" s="60">
        <v>4</v>
      </c>
      <c r="Q227" s="60">
        <v>4</v>
      </c>
      <c r="R227" s="60">
        <v>4</v>
      </c>
      <c r="S227" s="60">
        <v>240</v>
      </c>
      <c r="T227" s="60" t="s">
        <v>835</v>
      </c>
      <c r="U227" s="60">
        <v>240</v>
      </c>
      <c r="V227" s="60" t="s">
        <v>837</v>
      </c>
      <c r="W227" s="60" t="s">
        <v>200</v>
      </c>
      <c r="X227" s="60">
        <v>2</v>
      </c>
      <c r="Y227" s="60">
        <f>U227*挂机玩法规划!$O$4*VLOOKUP(E227,挂机玩法规划!$G$2:$I$17,3,FALSE)</f>
        <v>1440</v>
      </c>
      <c r="Z227" s="17">
        <f t="shared" si="386"/>
        <v>0.8666666666666667</v>
      </c>
      <c r="AA227" s="17">
        <f t="shared" si="387"/>
        <v>624</v>
      </c>
      <c r="AB227" s="17">
        <f>(VLOOKUP(V227,物品id!A:E,5,FALSE)*挂机玩法填表!Z227+VLOOKUP(挂机玩法填表!W227,物品id!A:E,5,FALSE)*挂机玩法填表!AA227)/(U227/60)</f>
        <v>29.431999999999999</v>
      </c>
      <c r="AD227" s="60" t="str">
        <f>IF(G227="","",VLOOKUP(G227,物品id!$A:$B,2,FALSE)&amp;",")</f>
        <v>1311,</v>
      </c>
      <c r="AE227" s="60" t="str">
        <f>IF(H227="","",VLOOKUP(H227,物品id!$A:$B,2,FALSE)&amp;",")</f>
        <v>1321,</v>
      </c>
      <c r="AF227" s="60" t="str">
        <f>IF(I227="","",VLOOKUP(I227,物品id!$A:$B,2,FALSE)&amp;",")</f>
        <v>1341,</v>
      </c>
      <c r="AG227" s="60" t="str">
        <f t="shared" si="375"/>
        <v>1311,1321,1341,</v>
      </c>
      <c r="AH227" s="60" t="str">
        <f t="shared" si="376"/>
        <v>[1311,1321,1341]</v>
      </c>
      <c r="AI227" s="17" t="str">
        <f t="shared" si="388"/>
        <v>4,</v>
      </c>
      <c r="AJ227" s="17" t="str">
        <f t="shared" si="389"/>
        <v>4,</v>
      </c>
      <c r="AK227" s="17" t="str">
        <f t="shared" si="390"/>
        <v>4,</v>
      </c>
      <c r="AL227" s="60" t="str">
        <f t="shared" si="377"/>
        <v>4,4,4,</v>
      </c>
      <c r="AM227" s="60" t="str">
        <f t="shared" si="378"/>
        <v>[4,4,4]</v>
      </c>
      <c r="AN227" s="60" t="str">
        <f>VLOOKUP(T227,物品id!$A:$B,2,FALSE)&amp;","</f>
        <v>102,</v>
      </c>
      <c r="AO227" s="17" t="str">
        <f t="shared" si="391"/>
        <v>[102]</v>
      </c>
      <c r="AP227" s="60" t="str">
        <f t="shared" si="383"/>
        <v>240,</v>
      </c>
      <c r="AQ227" s="17" t="str">
        <f t="shared" si="392"/>
        <v>[240]</v>
      </c>
      <c r="AR227" s="60" t="str">
        <f>IF(V227="","",VLOOKUP(V227,物品id!$A:$B,2,FALSE)&amp;",")</f>
        <v>20033,</v>
      </c>
      <c r="AS227" s="60" t="str">
        <f>IF(W227="","",VLOOKUP(W227,物品id!$A:$B,2,FALSE)&amp;",")</f>
        <v>102,</v>
      </c>
      <c r="AT227" s="60" t="str">
        <f t="shared" si="379"/>
        <v>20033,102,</v>
      </c>
      <c r="AU227" s="60" t="str">
        <f t="shared" si="380"/>
        <v>[20033,102]</v>
      </c>
      <c r="AV227" s="60" t="str">
        <f t="shared" si="384"/>
        <v>2,</v>
      </c>
      <c r="AW227" s="60" t="str">
        <f t="shared" si="385"/>
        <v>1440,</v>
      </c>
      <c r="AX227" s="60" t="str">
        <f t="shared" si="381"/>
        <v>2,1440,</v>
      </c>
      <c r="AY227" s="60" t="str">
        <f t="shared" si="382"/>
        <v>[2,1440]</v>
      </c>
    </row>
    <row r="228" spans="1:51" s="60" customFormat="1" x14ac:dyDescent="0.2">
      <c r="A228" s="60">
        <v>6</v>
      </c>
      <c r="B228" s="60" t="s">
        <v>1132</v>
      </c>
      <c r="C228" s="60">
        <v>63</v>
      </c>
      <c r="D228" s="34" t="s">
        <v>1168</v>
      </c>
      <c r="E228" s="60" t="s">
        <v>1017</v>
      </c>
      <c r="F228" s="60">
        <v>3</v>
      </c>
      <c r="G228" s="60" t="s">
        <v>817</v>
      </c>
      <c r="H228" s="60" t="s">
        <v>818</v>
      </c>
      <c r="I228" s="60" t="s">
        <v>221</v>
      </c>
      <c r="J228" s="17">
        <v>0.8</v>
      </c>
      <c r="K228" s="17">
        <v>0</v>
      </c>
      <c r="L228" s="17">
        <v>0</v>
      </c>
      <c r="M228" s="35">
        <f>(IF(G228="",挂机玩法规划!$L$2,VLOOKUP(G228,物品id!A:D,4,FALSE)*IF(J228=0,1,4))*IF(J228=0,1,J228)+IF(H228="",挂机玩法规划!$L$2,VLOOKUP(H228,物品id!A:D,4,FALSE)*IF(K228=0,1,4))*IF(K228=0,1,K228)+IF(I228="",挂机玩法规划!$L$2,VLOOKUP(I228,物品id!A:D,4,FALSE)*IF(L228=0,1,4))*IF(L228=0,1,L228))/O228</f>
        <v>0.43333333333333335</v>
      </c>
      <c r="N228" s="44">
        <f>IF(G228="",挂机玩法规划!$L$2,VLOOKUP(G228,物品id!A:D,4,FALSE)*4)+IF(H228="",挂机玩法规划!$L$2,VLOOKUP(H228,物品id!A:D,4,FALSE)*4)+IF(I228="",挂机玩法规划!$L$2,VLOOKUP(I228,物品id!A:D,4,FALSE)*4)</f>
        <v>360</v>
      </c>
      <c r="O228" s="61">
        <v>360</v>
      </c>
      <c r="P228" s="60">
        <v>4</v>
      </c>
      <c r="Q228" s="60">
        <v>4</v>
      </c>
      <c r="R228" s="60">
        <v>4</v>
      </c>
      <c r="S228" s="60">
        <v>240</v>
      </c>
      <c r="T228" s="60" t="s">
        <v>835</v>
      </c>
      <c r="U228" s="60">
        <v>240</v>
      </c>
      <c r="V228" s="60" t="s">
        <v>837</v>
      </c>
      <c r="W228" s="60" t="s">
        <v>200</v>
      </c>
      <c r="X228" s="60">
        <v>2</v>
      </c>
      <c r="Y228" s="60">
        <f>U228*挂机玩法规划!$O$4*VLOOKUP(E228,挂机玩法规划!$G$2:$I$17,3,FALSE)</f>
        <v>1440</v>
      </c>
      <c r="Z228" s="17">
        <f t="shared" si="386"/>
        <v>0.8666666666666667</v>
      </c>
      <c r="AA228" s="17">
        <f t="shared" si="387"/>
        <v>624</v>
      </c>
      <c r="AB228" s="17">
        <f>(VLOOKUP(V228,物品id!A:E,5,FALSE)*挂机玩法填表!Z228+VLOOKUP(挂机玩法填表!W228,物品id!A:E,5,FALSE)*挂机玩法填表!AA228)/(U228/60)</f>
        <v>29.431999999999999</v>
      </c>
      <c r="AD228" s="60" t="str">
        <f>IF(G228="","",VLOOKUP(G228,物品id!$A:$B,2,FALSE)&amp;",")</f>
        <v>2311,</v>
      </c>
      <c r="AE228" s="60" t="str">
        <f>IF(H228="","",VLOOKUP(H228,物品id!$A:$B,2,FALSE)&amp;",")</f>
        <v>2321,</v>
      </c>
      <c r="AF228" s="60" t="str">
        <f>IF(I228="","",VLOOKUP(I228,物品id!$A:$B,2,FALSE)&amp;",")</f>
        <v>2341,</v>
      </c>
      <c r="AG228" s="60" t="str">
        <f t="shared" si="375"/>
        <v>2311,2321,2341,</v>
      </c>
      <c r="AH228" s="60" t="str">
        <f t="shared" si="376"/>
        <v>[2311,2321,2341]</v>
      </c>
      <c r="AI228" s="17" t="str">
        <f t="shared" si="388"/>
        <v>4,</v>
      </c>
      <c r="AJ228" s="17" t="str">
        <f t="shared" si="389"/>
        <v>4,</v>
      </c>
      <c r="AK228" s="17" t="str">
        <f t="shared" si="390"/>
        <v>4,</v>
      </c>
      <c r="AL228" s="60" t="str">
        <f t="shared" si="377"/>
        <v>4,4,4,</v>
      </c>
      <c r="AM228" s="60" t="str">
        <f t="shared" si="378"/>
        <v>[4,4,4]</v>
      </c>
      <c r="AN228" s="60" t="str">
        <f>VLOOKUP(T228,物品id!$A:$B,2,FALSE)&amp;","</f>
        <v>102,</v>
      </c>
      <c r="AO228" s="17" t="str">
        <f t="shared" si="391"/>
        <v>[102]</v>
      </c>
      <c r="AP228" s="60" t="str">
        <f t="shared" si="383"/>
        <v>240,</v>
      </c>
      <c r="AQ228" s="17" t="str">
        <f t="shared" si="392"/>
        <v>[240]</v>
      </c>
      <c r="AR228" s="60" t="str">
        <f>IF(V228="","",VLOOKUP(V228,物品id!$A:$B,2,FALSE)&amp;",")</f>
        <v>20033,</v>
      </c>
      <c r="AS228" s="60" t="str">
        <f>IF(W228="","",VLOOKUP(W228,物品id!$A:$B,2,FALSE)&amp;",")</f>
        <v>102,</v>
      </c>
      <c r="AT228" s="60" t="str">
        <f t="shared" si="379"/>
        <v>20033,102,</v>
      </c>
      <c r="AU228" s="60" t="str">
        <f t="shared" si="380"/>
        <v>[20033,102]</v>
      </c>
      <c r="AV228" s="60" t="str">
        <f t="shared" si="384"/>
        <v>2,</v>
      </c>
      <c r="AW228" s="60" t="str">
        <f t="shared" si="385"/>
        <v>1440,</v>
      </c>
      <c r="AX228" s="60" t="str">
        <f t="shared" si="381"/>
        <v>2,1440,</v>
      </c>
      <c r="AY228" s="60" t="str">
        <f t="shared" si="382"/>
        <v>[2,1440]</v>
      </c>
    </row>
    <row r="229" spans="1:51" s="60" customFormat="1" x14ac:dyDescent="0.2">
      <c r="A229" s="60">
        <v>6</v>
      </c>
      <c r="B229" s="60" t="s">
        <v>1132</v>
      </c>
      <c r="C229" s="60">
        <v>63</v>
      </c>
      <c r="D229" s="34" t="s">
        <v>1168</v>
      </c>
      <c r="E229" s="60" t="s">
        <v>1017</v>
      </c>
      <c r="F229" s="60">
        <v>3</v>
      </c>
      <c r="G229" s="60" t="s">
        <v>827</v>
      </c>
      <c r="H229" s="60" t="s">
        <v>828</v>
      </c>
      <c r="I229" s="60" t="s">
        <v>830</v>
      </c>
      <c r="J229" s="17">
        <v>0.8</v>
      </c>
      <c r="K229" s="17">
        <v>0</v>
      </c>
      <c r="L229" s="17">
        <v>0</v>
      </c>
      <c r="M229" s="35">
        <f>(IF(G229="",挂机玩法规划!$L$2,VLOOKUP(G229,物品id!A:D,4,FALSE)*IF(J229=0,1,4))*IF(J229=0,1,J229)+IF(H229="",挂机玩法规划!$L$2,VLOOKUP(H229,物品id!A:D,4,FALSE)*IF(K229=0,1,4))*IF(K229=0,1,K229)+IF(I229="",挂机玩法规划!$L$2,VLOOKUP(I229,物品id!A:D,4,FALSE)*IF(L229=0,1,4))*IF(L229=0,1,L229))/O229</f>
        <v>0.43333333333333335</v>
      </c>
      <c r="N229" s="44">
        <f>IF(G229="",挂机玩法规划!$L$2,VLOOKUP(G229,物品id!A:D,4,FALSE)*4)+IF(H229="",挂机玩法规划!$L$2,VLOOKUP(H229,物品id!A:D,4,FALSE)*4)+IF(I229="",挂机玩法规划!$L$2,VLOOKUP(I229,物品id!A:D,4,FALSE)*4)</f>
        <v>360</v>
      </c>
      <c r="O229" s="61">
        <v>360</v>
      </c>
      <c r="P229" s="60">
        <v>4</v>
      </c>
      <c r="Q229" s="60">
        <v>4</v>
      </c>
      <c r="R229" s="60">
        <v>4</v>
      </c>
      <c r="S229" s="60">
        <v>240</v>
      </c>
      <c r="T229" s="60" t="s">
        <v>835</v>
      </c>
      <c r="U229" s="60">
        <v>240</v>
      </c>
      <c r="V229" s="60" t="s">
        <v>837</v>
      </c>
      <c r="W229" s="60" t="s">
        <v>200</v>
      </c>
      <c r="X229" s="60">
        <v>2</v>
      </c>
      <c r="Y229" s="60">
        <f>U229*挂机玩法规划!$O$4*VLOOKUP(E229,挂机玩法规划!$G$2:$I$17,3,FALSE)</f>
        <v>1440</v>
      </c>
      <c r="Z229" s="17">
        <f t="shared" si="386"/>
        <v>0.8666666666666667</v>
      </c>
      <c r="AA229" s="17">
        <f t="shared" si="387"/>
        <v>624</v>
      </c>
      <c r="AB229" s="17">
        <f>(VLOOKUP(V229,物品id!A:E,5,FALSE)*挂机玩法填表!Z229+VLOOKUP(挂机玩法填表!W229,物品id!A:E,5,FALSE)*挂机玩法填表!AA229)/(U229/60)</f>
        <v>29.431999999999999</v>
      </c>
      <c r="AD229" s="60" t="str">
        <f>IF(G229="","",VLOOKUP(G229,物品id!$A:$B,2,FALSE)&amp;",")</f>
        <v>3311,</v>
      </c>
      <c r="AE229" s="60" t="str">
        <f>IF(H229="","",VLOOKUP(H229,物品id!$A:$B,2,FALSE)&amp;",")</f>
        <v>3321,</v>
      </c>
      <c r="AF229" s="60" t="str">
        <f>IF(I229="","",VLOOKUP(I229,物品id!$A:$B,2,FALSE)&amp;",")</f>
        <v>3341,</v>
      </c>
      <c r="AG229" s="60" t="str">
        <f t="shared" si="375"/>
        <v>3311,3321,3341,</v>
      </c>
      <c r="AH229" s="60" t="str">
        <f t="shared" si="376"/>
        <v>[3311,3321,3341]</v>
      </c>
      <c r="AI229" s="17" t="str">
        <f t="shared" si="388"/>
        <v>4,</v>
      </c>
      <c r="AJ229" s="17" t="str">
        <f t="shared" si="389"/>
        <v>4,</v>
      </c>
      <c r="AK229" s="17" t="str">
        <f t="shared" si="390"/>
        <v>4,</v>
      </c>
      <c r="AL229" s="60" t="str">
        <f t="shared" si="377"/>
        <v>4,4,4,</v>
      </c>
      <c r="AM229" s="60" t="str">
        <f t="shared" si="378"/>
        <v>[4,4,4]</v>
      </c>
      <c r="AN229" s="60" t="str">
        <f>VLOOKUP(T229,物品id!$A:$B,2,FALSE)&amp;","</f>
        <v>102,</v>
      </c>
      <c r="AO229" s="17" t="str">
        <f t="shared" si="391"/>
        <v>[102]</v>
      </c>
      <c r="AP229" s="60" t="str">
        <f t="shared" si="383"/>
        <v>240,</v>
      </c>
      <c r="AQ229" s="17" t="str">
        <f t="shared" si="392"/>
        <v>[240]</v>
      </c>
      <c r="AR229" s="60" t="str">
        <f>IF(V229="","",VLOOKUP(V229,物品id!$A:$B,2,FALSE)&amp;",")</f>
        <v>20033,</v>
      </c>
      <c r="AS229" s="60" t="str">
        <f>IF(W229="","",VLOOKUP(W229,物品id!$A:$B,2,FALSE)&amp;",")</f>
        <v>102,</v>
      </c>
      <c r="AT229" s="60" t="str">
        <f t="shared" si="379"/>
        <v>20033,102,</v>
      </c>
      <c r="AU229" s="60" t="str">
        <f t="shared" si="380"/>
        <v>[20033,102]</v>
      </c>
      <c r="AV229" s="60" t="str">
        <f t="shared" si="384"/>
        <v>2,</v>
      </c>
      <c r="AW229" s="60" t="str">
        <f t="shared" si="385"/>
        <v>1440,</v>
      </c>
      <c r="AX229" s="60" t="str">
        <f t="shared" si="381"/>
        <v>2,1440,</v>
      </c>
      <c r="AY229" s="60" t="str">
        <f t="shared" si="382"/>
        <v>[2,1440]</v>
      </c>
    </row>
    <row r="230" spans="1:51" s="60" customFormat="1" x14ac:dyDescent="0.2">
      <c r="A230" s="60">
        <v>6</v>
      </c>
      <c r="B230" s="60" t="s">
        <v>1132</v>
      </c>
      <c r="C230" s="60">
        <v>63</v>
      </c>
      <c r="D230" s="34" t="s">
        <v>1168</v>
      </c>
      <c r="E230" s="60" t="s">
        <v>1017</v>
      </c>
      <c r="F230" s="60">
        <v>3</v>
      </c>
      <c r="G230" s="60" t="s">
        <v>806</v>
      </c>
      <c r="H230" s="60" t="s">
        <v>807</v>
      </c>
      <c r="I230" s="60" t="s">
        <v>809</v>
      </c>
      <c r="J230" s="17">
        <v>0.8</v>
      </c>
      <c r="K230" s="17">
        <v>0</v>
      </c>
      <c r="L230" s="17">
        <v>0</v>
      </c>
      <c r="M230" s="35">
        <f>(IF(G230="",挂机玩法规划!$L$2,VLOOKUP(G230,物品id!A:D,4,FALSE)*IF(J230=0,1,4))*IF(J230=0,1,J230)+IF(H230="",挂机玩法规划!$L$2,VLOOKUP(H230,物品id!A:D,4,FALSE)*IF(K230=0,1,4))*IF(K230=0,1,K230)+IF(I230="",挂机玩法规划!$L$2,VLOOKUP(I230,物品id!A:D,4,FALSE)*IF(L230=0,1,4))*IF(L230=0,1,L230))/O230</f>
        <v>0.43333333333333335</v>
      </c>
      <c r="N230" s="44">
        <f>IF(G230="",挂机玩法规划!$L$2,VLOOKUP(G230,物品id!A:D,4,FALSE)*4)+IF(H230="",挂机玩法规划!$L$2,VLOOKUP(H230,物品id!A:D,4,FALSE)*4)+IF(I230="",挂机玩法规划!$L$2,VLOOKUP(I230,物品id!A:D,4,FALSE)*4)</f>
        <v>360</v>
      </c>
      <c r="O230" s="61">
        <v>360</v>
      </c>
      <c r="P230" s="60">
        <v>4</v>
      </c>
      <c r="Q230" s="60">
        <v>4</v>
      </c>
      <c r="R230" s="60">
        <v>4</v>
      </c>
      <c r="S230" s="60">
        <v>480</v>
      </c>
      <c r="T230" s="60" t="s">
        <v>835</v>
      </c>
      <c r="U230" s="60">
        <v>480</v>
      </c>
      <c r="V230" s="60" t="s">
        <v>837</v>
      </c>
      <c r="W230" s="60" t="s">
        <v>200</v>
      </c>
      <c r="X230" s="60">
        <v>3</v>
      </c>
      <c r="Y230" s="60">
        <f>U230*挂机玩法规划!$O$4*VLOOKUP(E230,挂机玩法规划!$G$2:$I$17,3,FALSE)</f>
        <v>2880</v>
      </c>
      <c r="Z230" s="17">
        <f t="shared" si="386"/>
        <v>1.3</v>
      </c>
      <c r="AA230" s="17">
        <f t="shared" si="387"/>
        <v>1248</v>
      </c>
      <c r="AB230" s="17">
        <f>(VLOOKUP(V230,物品id!A:E,5,FALSE)*挂机玩法填表!Z230+VLOOKUP(挂机玩法填表!W230,物品id!A:E,5,FALSE)*挂机玩法填表!AA230)/(U230/60)</f>
        <v>22.931999999999999</v>
      </c>
      <c r="AD230" s="60" t="str">
        <f>IF(G230="","",VLOOKUP(G230,物品id!$A:$B,2,FALSE)&amp;",")</f>
        <v>1311,</v>
      </c>
      <c r="AE230" s="60" t="str">
        <f>IF(H230="","",VLOOKUP(H230,物品id!$A:$B,2,FALSE)&amp;",")</f>
        <v>1321,</v>
      </c>
      <c r="AF230" s="60" t="str">
        <f>IF(I230="","",VLOOKUP(I230,物品id!$A:$B,2,FALSE)&amp;",")</f>
        <v>1341,</v>
      </c>
      <c r="AG230" s="60" t="str">
        <f t="shared" si="375"/>
        <v>1311,1321,1341,</v>
      </c>
      <c r="AH230" s="60" t="str">
        <f t="shared" si="376"/>
        <v>[1311,1321,1341]</v>
      </c>
      <c r="AI230" s="17" t="str">
        <f t="shared" si="388"/>
        <v>4,</v>
      </c>
      <c r="AJ230" s="17" t="str">
        <f t="shared" si="389"/>
        <v>4,</v>
      </c>
      <c r="AK230" s="17" t="str">
        <f t="shared" si="390"/>
        <v>4,</v>
      </c>
      <c r="AL230" s="60" t="str">
        <f t="shared" si="377"/>
        <v>4,4,4,</v>
      </c>
      <c r="AM230" s="60" t="str">
        <f t="shared" si="378"/>
        <v>[4,4,4]</v>
      </c>
      <c r="AN230" s="60" t="str">
        <f>VLOOKUP(T230,物品id!$A:$B,2,FALSE)&amp;","</f>
        <v>102,</v>
      </c>
      <c r="AO230" s="17" t="str">
        <f t="shared" si="391"/>
        <v>[102]</v>
      </c>
      <c r="AP230" s="60" t="str">
        <f t="shared" si="383"/>
        <v>480,</v>
      </c>
      <c r="AQ230" s="17" t="str">
        <f t="shared" si="392"/>
        <v>[480]</v>
      </c>
      <c r="AR230" s="60" t="str">
        <f>IF(V230="","",VLOOKUP(V230,物品id!$A:$B,2,FALSE)&amp;",")</f>
        <v>20033,</v>
      </c>
      <c r="AS230" s="60" t="str">
        <f>IF(W230="","",VLOOKUP(W230,物品id!$A:$B,2,FALSE)&amp;",")</f>
        <v>102,</v>
      </c>
      <c r="AT230" s="60" t="str">
        <f t="shared" si="379"/>
        <v>20033,102,</v>
      </c>
      <c r="AU230" s="60" t="str">
        <f t="shared" si="380"/>
        <v>[20033,102]</v>
      </c>
      <c r="AV230" s="60" t="str">
        <f t="shared" si="384"/>
        <v>3,</v>
      </c>
      <c r="AW230" s="60" t="str">
        <f t="shared" si="385"/>
        <v>2880,</v>
      </c>
      <c r="AX230" s="60" t="str">
        <f t="shared" si="381"/>
        <v>3,2880,</v>
      </c>
      <c r="AY230" s="60" t="str">
        <f t="shared" si="382"/>
        <v>[3,2880]</v>
      </c>
    </row>
    <row r="231" spans="1:51" s="60" customFormat="1" x14ac:dyDescent="0.2">
      <c r="A231" s="60">
        <v>6</v>
      </c>
      <c r="B231" s="60" t="s">
        <v>1132</v>
      </c>
      <c r="C231" s="60">
        <v>63</v>
      </c>
      <c r="D231" s="34" t="s">
        <v>1168</v>
      </c>
      <c r="E231" s="60" t="s">
        <v>1017</v>
      </c>
      <c r="F231" s="60">
        <v>3</v>
      </c>
      <c r="G231" s="60" t="s">
        <v>817</v>
      </c>
      <c r="H231" s="60" t="s">
        <v>818</v>
      </c>
      <c r="I231" s="60" t="s">
        <v>221</v>
      </c>
      <c r="J231" s="17">
        <v>0.8</v>
      </c>
      <c r="K231" s="17">
        <v>0</v>
      </c>
      <c r="L231" s="17">
        <v>0</v>
      </c>
      <c r="M231" s="35">
        <f>(IF(G231="",挂机玩法规划!$L$2,VLOOKUP(G231,物品id!A:D,4,FALSE)*IF(J231=0,1,4))*IF(J231=0,1,J231)+IF(H231="",挂机玩法规划!$L$2,VLOOKUP(H231,物品id!A:D,4,FALSE)*IF(K231=0,1,4))*IF(K231=0,1,K231)+IF(I231="",挂机玩法规划!$L$2,VLOOKUP(I231,物品id!A:D,4,FALSE)*IF(L231=0,1,4))*IF(L231=0,1,L231))/O231</f>
        <v>0.43333333333333335</v>
      </c>
      <c r="N231" s="44">
        <f>IF(G231="",挂机玩法规划!$L$2,VLOOKUP(G231,物品id!A:D,4,FALSE)*4)+IF(H231="",挂机玩法规划!$L$2,VLOOKUP(H231,物品id!A:D,4,FALSE)*4)+IF(I231="",挂机玩法规划!$L$2,VLOOKUP(I231,物品id!A:D,4,FALSE)*4)</f>
        <v>360</v>
      </c>
      <c r="O231" s="61">
        <v>360</v>
      </c>
      <c r="P231" s="60">
        <v>4</v>
      </c>
      <c r="Q231" s="60">
        <v>4</v>
      </c>
      <c r="R231" s="60">
        <v>4</v>
      </c>
      <c r="S231" s="60">
        <v>480</v>
      </c>
      <c r="T231" s="60" t="s">
        <v>835</v>
      </c>
      <c r="U231" s="60">
        <v>480</v>
      </c>
      <c r="V231" s="60" t="s">
        <v>837</v>
      </c>
      <c r="W231" s="60" t="s">
        <v>200</v>
      </c>
      <c r="X231" s="60">
        <v>3</v>
      </c>
      <c r="Y231" s="60">
        <f>U231*挂机玩法规划!$O$4*VLOOKUP(E231,挂机玩法规划!$G$2:$I$17,3,FALSE)</f>
        <v>2880</v>
      </c>
      <c r="Z231" s="17">
        <f t="shared" si="386"/>
        <v>1.3</v>
      </c>
      <c r="AA231" s="17">
        <f t="shared" si="387"/>
        <v>1248</v>
      </c>
      <c r="AB231" s="17">
        <f>(VLOOKUP(V231,物品id!A:E,5,FALSE)*挂机玩法填表!Z231+VLOOKUP(挂机玩法填表!W231,物品id!A:E,5,FALSE)*挂机玩法填表!AA231)/(U231/60)</f>
        <v>22.931999999999999</v>
      </c>
      <c r="AD231" s="60" t="str">
        <f>IF(G231="","",VLOOKUP(G231,物品id!$A:$B,2,FALSE)&amp;",")</f>
        <v>2311,</v>
      </c>
      <c r="AE231" s="60" t="str">
        <f>IF(H231="","",VLOOKUP(H231,物品id!$A:$B,2,FALSE)&amp;",")</f>
        <v>2321,</v>
      </c>
      <c r="AF231" s="60" t="str">
        <f>IF(I231="","",VLOOKUP(I231,物品id!$A:$B,2,FALSE)&amp;",")</f>
        <v>2341,</v>
      </c>
      <c r="AG231" s="60" t="str">
        <f t="shared" si="375"/>
        <v>2311,2321,2341,</v>
      </c>
      <c r="AH231" s="60" t="str">
        <f t="shared" si="376"/>
        <v>[2311,2321,2341]</v>
      </c>
      <c r="AI231" s="17" t="str">
        <f t="shared" si="388"/>
        <v>4,</v>
      </c>
      <c r="AJ231" s="17" t="str">
        <f t="shared" si="389"/>
        <v>4,</v>
      </c>
      <c r="AK231" s="17" t="str">
        <f t="shared" si="390"/>
        <v>4,</v>
      </c>
      <c r="AL231" s="60" t="str">
        <f t="shared" si="377"/>
        <v>4,4,4,</v>
      </c>
      <c r="AM231" s="60" t="str">
        <f t="shared" si="378"/>
        <v>[4,4,4]</v>
      </c>
      <c r="AN231" s="60" t="str">
        <f>VLOOKUP(T231,物品id!$A:$B,2,FALSE)&amp;","</f>
        <v>102,</v>
      </c>
      <c r="AO231" s="17" t="str">
        <f t="shared" si="391"/>
        <v>[102]</v>
      </c>
      <c r="AP231" s="60" t="str">
        <f t="shared" si="383"/>
        <v>480,</v>
      </c>
      <c r="AQ231" s="17" t="str">
        <f t="shared" si="392"/>
        <v>[480]</v>
      </c>
      <c r="AR231" s="60" t="str">
        <f>IF(V231="","",VLOOKUP(V231,物品id!$A:$B,2,FALSE)&amp;",")</f>
        <v>20033,</v>
      </c>
      <c r="AS231" s="60" t="str">
        <f>IF(W231="","",VLOOKUP(W231,物品id!$A:$B,2,FALSE)&amp;",")</f>
        <v>102,</v>
      </c>
      <c r="AT231" s="60" t="str">
        <f t="shared" si="379"/>
        <v>20033,102,</v>
      </c>
      <c r="AU231" s="60" t="str">
        <f t="shared" si="380"/>
        <v>[20033,102]</v>
      </c>
      <c r="AV231" s="60" t="str">
        <f t="shared" si="384"/>
        <v>3,</v>
      </c>
      <c r="AW231" s="60" t="str">
        <f t="shared" si="385"/>
        <v>2880,</v>
      </c>
      <c r="AX231" s="60" t="str">
        <f t="shared" si="381"/>
        <v>3,2880,</v>
      </c>
      <c r="AY231" s="60" t="str">
        <f t="shared" si="382"/>
        <v>[3,2880]</v>
      </c>
    </row>
    <row r="232" spans="1:51" s="60" customFormat="1" x14ac:dyDescent="0.2">
      <c r="A232" s="60">
        <v>6</v>
      </c>
      <c r="B232" s="60" t="s">
        <v>1132</v>
      </c>
      <c r="C232" s="60">
        <v>63</v>
      </c>
      <c r="D232" s="34" t="s">
        <v>1168</v>
      </c>
      <c r="E232" s="60" t="s">
        <v>1017</v>
      </c>
      <c r="F232" s="60">
        <v>3</v>
      </c>
      <c r="G232" s="60" t="s">
        <v>827</v>
      </c>
      <c r="H232" s="60" t="s">
        <v>828</v>
      </c>
      <c r="I232" s="60" t="s">
        <v>830</v>
      </c>
      <c r="J232" s="17">
        <v>0.8</v>
      </c>
      <c r="K232" s="17">
        <v>0</v>
      </c>
      <c r="L232" s="17">
        <v>0</v>
      </c>
      <c r="M232" s="35">
        <f>(IF(G232="",挂机玩法规划!$L$2,VLOOKUP(G232,物品id!A:D,4,FALSE)*IF(J232=0,1,4))*IF(J232=0,1,J232)+IF(H232="",挂机玩法规划!$L$2,VLOOKUP(H232,物品id!A:D,4,FALSE)*IF(K232=0,1,4))*IF(K232=0,1,K232)+IF(I232="",挂机玩法规划!$L$2,VLOOKUP(I232,物品id!A:D,4,FALSE)*IF(L232=0,1,4))*IF(L232=0,1,L232))/O232</f>
        <v>0.43333333333333335</v>
      </c>
      <c r="N232" s="44">
        <f>IF(G232="",挂机玩法规划!$L$2,VLOOKUP(G232,物品id!A:D,4,FALSE)*4)+IF(H232="",挂机玩法规划!$L$2,VLOOKUP(H232,物品id!A:D,4,FALSE)*4)+IF(I232="",挂机玩法规划!$L$2,VLOOKUP(I232,物品id!A:D,4,FALSE)*4)</f>
        <v>360</v>
      </c>
      <c r="O232" s="61">
        <v>360</v>
      </c>
      <c r="P232" s="60">
        <v>4</v>
      </c>
      <c r="Q232" s="60">
        <v>4</v>
      </c>
      <c r="R232" s="60">
        <v>4</v>
      </c>
      <c r="S232" s="60">
        <v>480</v>
      </c>
      <c r="T232" s="60" t="s">
        <v>835</v>
      </c>
      <c r="U232" s="60">
        <v>480</v>
      </c>
      <c r="V232" s="60" t="s">
        <v>837</v>
      </c>
      <c r="W232" s="60" t="s">
        <v>200</v>
      </c>
      <c r="X232" s="60">
        <v>3</v>
      </c>
      <c r="Y232" s="60">
        <f>U232*挂机玩法规划!$O$4*VLOOKUP(E232,挂机玩法规划!$G$2:$I$17,3,FALSE)</f>
        <v>2880</v>
      </c>
      <c r="Z232" s="17">
        <f t="shared" si="386"/>
        <v>1.3</v>
      </c>
      <c r="AA232" s="17">
        <f t="shared" si="387"/>
        <v>1248</v>
      </c>
      <c r="AB232" s="17">
        <f>(VLOOKUP(V232,物品id!A:E,5,FALSE)*挂机玩法填表!Z232+VLOOKUP(挂机玩法填表!W232,物品id!A:E,5,FALSE)*挂机玩法填表!AA232)/(U232/60)</f>
        <v>22.931999999999999</v>
      </c>
      <c r="AD232" s="60" t="str">
        <f>IF(G232="","",VLOOKUP(G232,物品id!$A:$B,2,FALSE)&amp;",")</f>
        <v>3311,</v>
      </c>
      <c r="AE232" s="60" t="str">
        <f>IF(H232="","",VLOOKUP(H232,物品id!$A:$B,2,FALSE)&amp;",")</f>
        <v>3321,</v>
      </c>
      <c r="AF232" s="60" t="str">
        <f>IF(I232="","",VLOOKUP(I232,物品id!$A:$B,2,FALSE)&amp;",")</f>
        <v>3341,</v>
      </c>
      <c r="AG232" s="60" t="str">
        <f t="shared" si="375"/>
        <v>3311,3321,3341,</v>
      </c>
      <c r="AH232" s="60" t="str">
        <f t="shared" si="376"/>
        <v>[3311,3321,3341]</v>
      </c>
      <c r="AI232" s="17" t="str">
        <f t="shared" si="388"/>
        <v>4,</v>
      </c>
      <c r="AJ232" s="17" t="str">
        <f t="shared" si="389"/>
        <v>4,</v>
      </c>
      <c r="AK232" s="17" t="str">
        <f t="shared" si="390"/>
        <v>4,</v>
      </c>
      <c r="AL232" s="60" t="str">
        <f t="shared" si="377"/>
        <v>4,4,4,</v>
      </c>
      <c r="AM232" s="60" t="str">
        <f t="shared" si="378"/>
        <v>[4,4,4]</v>
      </c>
      <c r="AN232" s="60" t="str">
        <f>VLOOKUP(T232,物品id!$A:$B,2,FALSE)&amp;","</f>
        <v>102,</v>
      </c>
      <c r="AO232" s="17" t="str">
        <f t="shared" si="391"/>
        <v>[102]</v>
      </c>
      <c r="AP232" s="60" t="str">
        <f t="shared" si="383"/>
        <v>480,</v>
      </c>
      <c r="AQ232" s="17" t="str">
        <f t="shared" si="392"/>
        <v>[480]</v>
      </c>
      <c r="AR232" s="60" t="str">
        <f>IF(V232="","",VLOOKUP(V232,物品id!$A:$B,2,FALSE)&amp;",")</f>
        <v>20033,</v>
      </c>
      <c r="AS232" s="60" t="str">
        <f>IF(W232="","",VLOOKUP(W232,物品id!$A:$B,2,FALSE)&amp;",")</f>
        <v>102,</v>
      </c>
      <c r="AT232" s="60" t="str">
        <f t="shared" si="379"/>
        <v>20033,102,</v>
      </c>
      <c r="AU232" s="60" t="str">
        <f t="shared" si="380"/>
        <v>[20033,102]</v>
      </c>
      <c r="AV232" s="60" t="str">
        <f t="shared" si="384"/>
        <v>3,</v>
      </c>
      <c r="AW232" s="60" t="str">
        <f t="shared" si="385"/>
        <v>2880,</v>
      </c>
      <c r="AX232" s="60" t="str">
        <f t="shared" si="381"/>
        <v>3,2880,</v>
      </c>
      <c r="AY232" s="60" t="str">
        <f t="shared" si="382"/>
        <v>[3,2880]</v>
      </c>
    </row>
    <row r="233" spans="1:51" s="60" customFormat="1" x14ac:dyDescent="0.2">
      <c r="A233" s="60">
        <v>6</v>
      </c>
      <c r="B233" s="60" t="s">
        <v>1132</v>
      </c>
      <c r="C233" s="60">
        <v>63</v>
      </c>
      <c r="D233" s="34" t="s">
        <v>1168</v>
      </c>
      <c r="E233" s="60" t="s">
        <v>1017</v>
      </c>
      <c r="F233" s="60">
        <v>3</v>
      </c>
      <c r="G233" s="60" t="s">
        <v>806</v>
      </c>
      <c r="H233" s="60" t="s">
        <v>807</v>
      </c>
      <c r="I233" s="60" t="s">
        <v>809</v>
      </c>
      <c r="J233" s="17">
        <v>0.8</v>
      </c>
      <c r="K233" s="17">
        <v>0</v>
      </c>
      <c r="L233" s="17">
        <v>0</v>
      </c>
      <c r="M233" s="35">
        <f>(IF(G233="",挂机玩法规划!$L$2,VLOOKUP(G233,物品id!A:D,4,FALSE)*IF(J233=0,1,4))*IF(J233=0,1,J233)+IF(H233="",挂机玩法规划!$L$2,VLOOKUP(H233,物品id!A:D,4,FALSE)*IF(K233=0,1,4))*IF(K233=0,1,K233)+IF(I233="",挂机玩法规划!$L$2,VLOOKUP(I233,物品id!A:D,4,FALSE)*IF(L233=0,1,4))*IF(L233=0,1,L233))/O233</f>
        <v>0.43333333333333335</v>
      </c>
      <c r="N233" s="44">
        <f>IF(G233="",挂机玩法规划!$L$2,VLOOKUP(G233,物品id!A:D,4,FALSE)*4)+IF(H233="",挂机玩法规划!$L$2,VLOOKUP(H233,物品id!A:D,4,FALSE)*4)+IF(I233="",挂机玩法规划!$L$2,VLOOKUP(I233,物品id!A:D,4,FALSE)*4)</f>
        <v>360</v>
      </c>
      <c r="O233" s="61">
        <v>360</v>
      </c>
      <c r="P233" s="60">
        <v>4</v>
      </c>
      <c r="Q233" s="60">
        <v>4</v>
      </c>
      <c r="R233" s="60">
        <v>4</v>
      </c>
      <c r="S233" s="60">
        <v>720</v>
      </c>
      <c r="T233" s="60" t="s">
        <v>835</v>
      </c>
      <c r="U233" s="60">
        <v>720</v>
      </c>
      <c r="V233" s="60" t="s">
        <v>837</v>
      </c>
      <c r="W233" s="60" t="s">
        <v>200</v>
      </c>
      <c r="X233" s="60">
        <v>4</v>
      </c>
      <c r="Y233" s="60">
        <f>U233*挂机玩法规划!$O$4*VLOOKUP(E233,挂机玩法规划!$G$2:$I$17,3,FALSE)</f>
        <v>4320</v>
      </c>
      <c r="Z233" s="17">
        <f t="shared" si="386"/>
        <v>1.7333333333333334</v>
      </c>
      <c r="AA233" s="17">
        <f t="shared" si="387"/>
        <v>1872</v>
      </c>
      <c r="AB233" s="17">
        <f>(VLOOKUP(V233,物品id!A:E,5,FALSE)*挂机玩法填表!Z233+VLOOKUP(挂机玩法填表!W233,物品id!A:E,5,FALSE)*挂机玩法填表!AA233)/(U233/60)</f>
        <v>20.765333333333334</v>
      </c>
      <c r="AD233" s="60" t="str">
        <f>IF(G233="","",VLOOKUP(G233,物品id!$A:$B,2,FALSE)&amp;",")</f>
        <v>1311,</v>
      </c>
      <c r="AE233" s="60" t="str">
        <f>IF(H233="","",VLOOKUP(H233,物品id!$A:$B,2,FALSE)&amp;",")</f>
        <v>1321,</v>
      </c>
      <c r="AF233" s="60" t="str">
        <f>IF(I233="","",VLOOKUP(I233,物品id!$A:$B,2,FALSE)&amp;",")</f>
        <v>1341,</v>
      </c>
      <c r="AG233" s="60" t="str">
        <f t="shared" si="375"/>
        <v>1311,1321,1341,</v>
      </c>
      <c r="AH233" s="60" t="str">
        <f t="shared" si="376"/>
        <v>[1311,1321,1341]</v>
      </c>
      <c r="AI233" s="17" t="str">
        <f t="shared" si="388"/>
        <v>4,</v>
      </c>
      <c r="AJ233" s="17" t="str">
        <f t="shared" si="389"/>
        <v>4,</v>
      </c>
      <c r="AK233" s="17" t="str">
        <f t="shared" si="390"/>
        <v>4,</v>
      </c>
      <c r="AL233" s="60" t="str">
        <f t="shared" si="377"/>
        <v>4,4,4,</v>
      </c>
      <c r="AM233" s="60" t="str">
        <f t="shared" si="378"/>
        <v>[4,4,4]</v>
      </c>
      <c r="AN233" s="60" t="str">
        <f>VLOOKUP(T233,物品id!$A:$B,2,FALSE)&amp;","</f>
        <v>102,</v>
      </c>
      <c r="AO233" s="17" t="str">
        <f t="shared" si="391"/>
        <v>[102]</v>
      </c>
      <c r="AP233" s="60" t="str">
        <f t="shared" si="383"/>
        <v>720,</v>
      </c>
      <c r="AQ233" s="17" t="str">
        <f t="shared" si="392"/>
        <v>[720]</v>
      </c>
      <c r="AR233" s="60" t="str">
        <f>IF(V233="","",VLOOKUP(V233,物品id!$A:$B,2,FALSE)&amp;",")</f>
        <v>20033,</v>
      </c>
      <c r="AS233" s="60" t="str">
        <f>IF(W233="","",VLOOKUP(W233,物品id!$A:$B,2,FALSE)&amp;",")</f>
        <v>102,</v>
      </c>
      <c r="AT233" s="60" t="str">
        <f t="shared" si="379"/>
        <v>20033,102,</v>
      </c>
      <c r="AU233" s="60" t="str">
        <f t="shared" si="380"/>
        <v>[20033,102]</v>
      </c>
      <c r="AV233" s="60" t="str">
        <f t="shared" si="384"/>
        <v>4,</v>
      </c>
      <c r="AW233" s="60" t="str">
        <f t="shared" si="385"/>
        <v>4320,</v>
      </c>
      <c r="AX233" s="60" t="str">
        <f t="shared" si="381"/>
        <v>4,4320,</v>
      </c>
      <c r="AY233" s="60" t="str">
        <f t="shared" si="382"/>
        <v>[4,4320]</v>
      </c>
    </row>
    <row r="234" spans="1:51" s="60" customFormat="1" x14ac:dyDescent="0.2">
      <c r="A234" s="60">
        <v>6</v>
      </c>
      <c r="B234" s="60" t="s">
        <v>1132</v>
      </c>
      <c r="C234" s="60">
        <v>63</v>
      </c>
      <c r="D234" s="34" t="s">
        <v>1168</v>
      </c>
      <c r="E234" s="60" t="s">
        <v>1017</v>
      </c>
      <c r="F234" s="60">
        <v>3</v>
      </c>
      <c r="G234" s="60" t="s">
        <v>817</v>
      </c>
      <c r="H234" s="60" t="s">
        <v>818</v>
      </c>
      <c r="I234" s="60" t="s">
        <v>221</v>
      </c>
      <c r="J234" s="17">
        <v>0.8</v>
      </c>
      <c r="K234" s="17">
        <v>0</v>
      </c>
      <c r="L234" s="17">
        <v>0</v>
      </c>
      <c r="M234" s="35">
        <f>(IF(G234="",挂机玩法规划!$L$2,VLOOKUP(G234,物品id!A:D,4,FALSE)*IF(J234=0,1,4))*IF(J234=0,1,J234)+IF(H234="",挂机玩法规划!$L$2,VLOOKUP(H234,物品id!A:D,4,FALSE)*IF(K234=0,1,4))*IF(K234=0,1,K234)+IF(I234="",挂机玩法规划!$L$2,VLOOKUP(I234,物品id!A:D,4,FALSE)*IF(L234=0,1,4))*IF(L234=0,1,L234))/O234</f>
        <v>0.43333333333333335</v>
      </c>
      <c r="N234" s="44">
        <f>IF(G234="",挂机玩法规划!$L$2,VLOOKUP(G234,物品id!A:D,4,FALSE)*4)+IF(H234="",挂机玩法规划!$L$2,VLOOKUP(H234,物品id!A:D,4,FALSE)*4)+IF(I234="",挂机玩法规划!$L$2,VLOOKUP(I234,物品id!A:D,4,FALSE)*4)</f>
        <v>360</v>
      </c>
      <c r="O234" s="61">
        <v>360</v>
      </c>
      <c r="P234" s="60">
        <v>4</v>
      </c>
      <c r="Q234" s="60">
        <v>4</v>
      </c>
      <c r="R234" s="60">
        <v>4</v>
      </c>
      <c r="S234" s="60">
        <v>720</v>
      </c>
      <c r="T234" s="60" t="s">
        <v>835</v>
      </c>
      <c r="U234" s="60">
        <v>720</v>
      </c>
      <c r="V234" s="60" t="s">
        <v>837</v>
      </c>
      <c r="W234" s="60" t="s">
        <v>200</v>
      </c>
      <c r="X234" s="60">
        <v>4</v>
      </c>
      <c r="Y234" s="60">
        <f>U234*挂机玩法规划!$O$4*VLOOKUP(E234,挂机玩法规划!$G$2:$I$17,3,FALSE)</f>
        <v>4320</v>
      </c>
      <c r="Z234" s="17">
        <f t="shared" si="386"/>
        <v>1.7333333333333334</v>
      </c>
      <c r="AA234" s="17">
        <f t="shared" si="387"/>
        <v>1872</v>
      </c>
      <c r="AB234" s="17">
        <f>(VLOOKUP(V234,物品id!A:E,5,FALSE)*挂机玩法填表!Z234+VLOOKUP(挂机玩法填表!W234,物品id!A:E,5,FALSE)*挂机玩法填表!AA234)/(U234/60)</f>
        <v>20.765333333333334</v>
      </c>
      <c r="AD234" s="60" t="str">
        <f>IF(G234="","",VLOOKUP(G234,物品id!$A:$B,2,FALSE)&amp;",")</f>
        <v>2311,</v>
      </c>
      <c r="AE234" s="60" t="str">
        <f>IF(H234="","",VLOOKUP(H234,物品id!$A:$B,2,FALSE)&amp;",")</f>
        <v>2321,</v>
      </c>
      <c r="AF234" s="60" t="str">
        <f>IF(I234="","",VLOOKUP(I234,物品id!$A:$B,2,FALSE)&amp;",")</f>
        <v>2341,</v>
      </c>
      <c r="AG234" s="60" t="str">
        <f t="shared" si="375"/>
        <v>2311,2321,2341,</v>
      </c>
      <c r="AH234" s="60" t="str">
        <f t="shared" si="376"/>
        <v>[2311,2321,2341]</v>
      </c>
      <c r="AI234" s="17" t="str">
        <f t="shared" si="388"/>
        <v>4,</v>
      </c>
      <c r="AJ234" s="17" t="str">
        <f t="shared" si="389"/>
        <v>4,</v>
      </c>
      <c r="AK234" s="17" t="str">
        <f t="shared" si="390"/>
        <v>4,</v>
      </c>
      <c r="AL234" s="60" t="str">
        <f t="shared" si="377"/>
        <v>4,4,4,</v>
      </c>
      <c r="AM234" s="60" t="str">
        <f t="shared" si="378"/>
        <v>[4,4,4]</v>
      </c>
      <c r="AN234" s="60" t="str">
        <f>VLOOKUP(T234,物品id!$A:$B,2,FALSE)&amp;","</f>
        <v>102,</v>
      </c>
      <c r="AO234" s="17" t="str">
        <f t="shared" si="391"/>
        <v>[102]</v>
      </c>
      <c r="AP234" s="60" t="str">
        <f t="shared" si="383"/>
        <v>720,</v>
      </c>
      <c r="AQ234" s="17" t="str">
        <f t="shared" si="392"/>
        <v>[720]</v>
      </c>
      <c r="AR234" s="60" t="str">
        <f>IF(V234="","",VLOOKUP(V234,物品id!$A:$B,2,FALSE)&amp;",")</f>
        <v>20033,</v>
      </c>
      <c r="AS234" s="60" t="str">
        <f>IF(W234="","",VLOOKUP(W234,物品id!$A:$B,2,FALSE)&amp;",")</f>
        <v>102,</v>
      </c>
      <c r="AT234" s="60" t="str">
        <f t="shared" si="379"/>
        <v>20033,102,</v>
      </c>
      <c r="AU234" s="60" t="str">
        <f t="shared" si="380"/>
        <v>[20033,102]</v>
      </c>
      <c r="AV234" s="60" t="str">
        <f t="shared" si="384"/>
        <v>4,</v>
      </c>
      <c r="AW234" s="60" t="str">
        <f t="shared" si="385"/>
        <v>4320,</v>
      </c>
      <c r="AX234" s="60" t="str">
        <f t="shared" si="381"/>
        <v>4,4320,</v>
      </c>
      <c r="AY234" s="60" t="str">
        <f t="shared" si="382"/>
        <v>[4,4320]</v>
      </c>
    </row>
    <row r="235" spans="1:51" s="60" customFormat="1" x14ac:dyDescent="0.2">
      <c r="A235" s="60">
        <v>6</v>
      </c>
      <c r="B235" s="60" t="s">
        <v>1132</v>
      </c>
      <c r="C235" s="60">
        <v>63</v>
      </c>
      <c r="D235" s="34" t="s">
        <v>1168</v>
      </c>
      <c r="E235" s="60" t="s">
        <v>1017</v>
      </c>
      <c r="F235" s="60">
        <v>3</v>
      </c>
      <c r="G235" s="60" t="s">
        <v>827</v>
      </c>
      <c r="H235" s="60" t="s">
        <v>828</v>
      </c>
      <c r="I235" s="60" t="s">
        <v>830</v>
      </c>
      <c r="J235" s="17">
        <v>0.8</v>
      </c>
      <c r="K235" s="17">
        <v>0</v>
      </c>
      <c r="L235" s="17">
        <v>0</v>
      </c>
      <c r="M235" s="35">
        <f>(IF(G235="",挂机玩法规划!$L$2,VLOOKUP(G235,物品id!A:D,4,FALSE)*IF(J235=0,1,4))*IF(J235=0,1,J235)+IF(H235="",挂机玩法规划!$L$2,VLOOKUP(H235,物品id!A:D,4,FALSE)*IF(K235=0,1,4))*IF(K235=0,1,K235)+IF(I235="",挂机玩法规划!$L$2,VLOOKUP(I235,物品id!A:D,4,FALSE)*IF(L235=0,1,4))*IF(L235=0,1,L235))/O235</f>
        <v>0.43333333333333335</v>
      </c>
      <c r="N235" s="44">
        <f>IF(G235="",挂机玩法规划!$L$2,VLOOKUP(G235,物品id!A:D,4,FALSE)*4)+IF(H235="",挂机玩法规划!$L$2,VLOOKUP(H235,物品id!A:D,4,FALSE)*4)+IF(I235="",挂机玩法规划!$L$2,VLOOKUP(I235,物品id!A:D,4,FALSE)*4)</f>
        <v>360</v>
      </c>
      <c r="O235" s="61">
        <v>360</v>
      </c>
      <c r="P235" s="60">
        <v>4</v>
      </c>
      <c r="Q235" s="60">
        <v>4</v>
      </c>
      <c r="R235" s="60">
        <v>4</v>
      </c>
      <c r="S235" s="60">
        <v>720</v>
      </c>
      <c r="T235" s="60" t="s">
        <v>835</v>
      </c>
      <c r="U235" s="60">
        <v>720</v>
      </c>
      <c r="V235" s="60" t="s">
        <v>837</v>
      </c>
      <c r="W235" s="60" t="s">
        <v>200</v>
      </c>
      <c r="X235" s="60">
        <v>4</v>
      </c>
      <c r="Y235" s="60">
        <f>U235*挂机玩法规划!$O$4*VLOOKUP(E235,挂机玩法规划!$G$2:$I$17,3,FALSE)</f>
        <v>4320</v>
      </c>
      <c r="Z235" s="17">
        <f t="shared" si="386"/>
        <v>1.7333333333333334</v>
      </c>
      <c r="AA235" s="17">
        <f t="shared" si="387"/>
        <v>1872</v>
      </c>
      <c r="AB235" s="17">
        <f>(VLOOKUP(V235,物品id!A:E,5,FALSE)*挂机玩法填表!Z235+VLOOKUP(挂机玩法填表!W235,物品id!A:E,5,FALSE)*挂机玩法填表!AA235)/(U235/60)</f>
        <v>20.765333333333334</v>
      </c>
      <c r="AD235" s="60" t="str">
        <f>IF(G235="","",VLOOKUP(G235,物品id!$A:$B,2,FALSE)&amp;",")</f>
        <v>3311,</v>
      </c>
      <c r="AE235" s="60" t="str">
        <f>IF(H235="","",VLOOKUP(H235,物品id!$A:$B,2,FALSE)&amp;",")</f>
        <v>3321,</v>
      </c>
      <c r="AF235" s="60" t="str">
        <f>IF(I235="","",VLOOKUP(I235,物品id!$A:$B,2,FALSE)&amp;",")</f>
        <v>3341,</v>
      </c>
      <c r="AG235" s="60" t="str">
        <f t="shared" si="375"/>
        <v>3311,3321,3341,</v>
      </c>
      <c r="AH235" s="60" t="str">
        <f t="shared" si="376"/>
        <v>[3311,3321,3341]</v>
      </c>
      <c r="AI235" s="17" t="str">
        <f t="shared" si="388"/>
        <v>4,</v>
      </c>
      <c r="AJ235" s="17" t="str">
        <f t="shared" si="389"/>
        <v>4,</v>
      </c>
      <c r="AK235" s="17" t="str">
        <f t="shared" si="390"/>
        <v>4,</v>
      </c>
      <c r="AL235" s="60" t="str">
        <f t="shared" si="377"/>
        <v>4,4,4,</v>
      </c>
      <c r="AM235" s="60" t="str">
        <f t="shared" si="378"/>
        <v>[4,4,4]</v>
      </c>
      <c r="AN235" s="60" t="str">
        <f>VLOOKUP(T235,物品id!$A:$B,2,FALSE)&amp;","</f>
        <v>102,</v>
      </c>
      <c r="AO235" s="17" t="str">
        <f t="shared" si="391"/>
        <v>[102]</v>
      </c>
      <c r="AP235" s="60" t="str">
        <f t="shared" si="383"/>
        <v>720,</v>
      </c>
      <c r="AQ235" s="17" t="str">
        <f t="shared" si="392"/>
        <v>[720]</v>
      </c>
      <c r="AR235" s="60" t="str">
        <f>IF(V235="","",VLOOKUP(V235,物品id!$A:$B,2,FALSE)&amp;",")</f>
        <v>20033,</v>
      </c>
      <c r="AS235" s="60" t="str">
        <f>IF(W235="","",VLOOKUP(W235,物品id!$A:$B,2,FALSE)&amp;",")</f>
        <v>102,</v>
      </c>
      <c r="AT235" s="60" t="str">
        <f t="shared" si="379"/>
        <v>20033,102,</v>
      </c>
      <c r="AU235" s="60" t="str">
        <f t="shared" si="380"/>
        <v>[20033,102]</v>
      </c>
      <c r="AV235" s="60" t="str">
        <f t="shared" si="384"/>
        <v>4,</v>
      </c>
      <c r="AW235" s="60" t="str">
        <f t="shared" si="385"/>
        <v>4320,</v>
      </c>
      <c r="AX235" s="60" t="str">
        <f t="shared" si="381"/>
        <v>4,4320,</v>
      </c>
      <c r="AY235" s="60" t="str">
        <f t="shared" si="382"/>
        <v>[4,4320]</v>
      </c>
    </row>
    <row r="236" spans="1:51" s="60" customFormat="1" x14ac:dyDescent="0.2">
      <c r="A236" s="60">
        <v>6</v>
      </c>
      <c r="B236" s="60" t="s">
        <v>1132</v>
      </c>
      <c r="C236" s="60">
        <v>64</v>
      </c>
      <c r="D236" s="34" t="s">
        <v>1169</v>
      </c>
      <c r="E236" s="60" t="s">
        <v>1017</v>
      </c>
      <c r="F236" s="60">
        <v>3</v>
      </c>
      <c r="G236" s="60" t="s">
        <v>808</v>
      </c>
      <c r="H236" s="60" t="s">
        <v>807</v>
      </c>
      <c r="I236" s="60" t="s">
        <v>809</v>
      </c>
      <c r="J236" s="17">
        <v>0</v>
      </c>
      <c r="K236" s="17">
        <v>0</v>
      </c>
      <c r="L236" s="17">
        <v>0</v>
      </c>
      <c r="M236" s="35">
        <f>(IF(G236="",挂机玩法规划!$L$2,VLOOKUP(G236,物品id!A:D,4,FALSE)*IF(J236=0,1,4))*IF(J236=0,1,J236)+IF(H236="",挂机玩法规划!$L$2,VLOOKUP(H236,物品id!A:D,4,FALSE)*IF(K236=0,1,4))*IF(K236=0,1,K236)+IF(I236="",挂机玩法规划!$L$2,VLOOKUP(I236,物品id!A:D,4,FALSE)*IF(L236=0,1,4))*IF(L236=0,1,L236))/O236</f>
        <v>0.25</v>
      </c>
      <c r="N236" s="44">
        <f>IF(G236="",挂机玩法规划!$L$2,VLOOKUP(G236,物品id!A:D,4,FALSE)*4)+IF(H236="",挂机玩法规划!$L$2,VLOOKUP(H236,物品id!A:D,4,FALSE)*4)+IF(I236="",挂机玩法规划!$L$2,VLOOKUP(I236,物品id!A:D,4,FALSE)*4)</f>
        <v>360</v>
      </c>
      <c r="O236" s="61">
        <v>360</v>
      </c>
      <c r="P236" s="60">
        <v>4</v>
      </c>
      <c r="Q236" s="60">
        <v>4</v>
      </c>
      <c r="R236" s="60">
        <v>4</v>
      </c>
      <c r="S236" s="60">
        <v>120</v>
      </c>
      <c r="T236" s="60" t="s">
        <v>835</v>
      </c>
      <c r="U236" s="60">
        <v>120</v>
      </c>
      <c r="V236" s="60" t="s">
        <v>837</v>
      </c>
      <c r="W236" s="60" t="s">
        <v>200</v>
      </c>
      <c r="X236" s="60">
        <v>1</v>
      </c>
      <c r="Y236" s="60">
        <f>U236*挂机玩法规划!$O$4*VLOOKUP(E236,挂机玩法规划!$G$2:$I$17,3,FALSE)</f>
        <v>720</v>
      </c>
      <c r="Z236" s="17">
        <f t="shared" si="386"/>
        <v>0.25</v>
      </c>
      <c r="AA236" s="17">
        <f t="shared" si="387"/>
        <v>180</v>
      </c>
      <c r="AB236" s="17">
        <f>(VLOOKUP(V236,物品id!A:E,5,FALSE)*挂机玩法填表!Z236+VLOOKUP(挂机玩法填表!W236,物品id!A:E,5,FALSE)*挂机玩法填表!AA236)/(U236/60)</f>
        <v>16.98</v>
      </c>
      <c r="AD236" s="60" t="str">
        <f>IF(G236="","",VLOOKUP(G236,物品id!$A:$B,2,FALSE)&amp;",")</f>
        <v>1331,</v>
      </c>
      <c r="AE236" s="60" t="str">
        <f>IF(H236="","",VLOOKUP(H236,物品id!$A:$B,2,FALSE)&amp;",")</f>
        <v>1321,</v>
      </c>
      <c r="AF236" s="60" t="str">
        <f>IF(I236="","",VLOOKUP(I236,物品id!$A:$B,2,FALSE)&amp;",")</f>
        <v>1341,</v>
      </c>
      <c r="AG236" s="60" t="str">
        <f t="shared" si="375"/>
        <v>1331,1321,1341,</v>
      </c>
      <c r="AH236" s="60" t="str">
        <f t="shared" si="376"/>
        <v>[1331,1321,1341]</v>
      </c>
      <c r="AI236" s="17" t="str">
        <f t="shared" si="388"/>
        <v>4,</v>
      </c>
      <c r="AJ236" s="17" t="str">
        <f t="shared" si="389"/>
        <v>4,</v>
      </c>
      <c r="AK236" s="17" t="str">
        <f t="shared" si="390"/>
        <v>4,</v>
      </c>
      <c r="AL236" s="60" t="str">
        <f t="shared" si="377"/>
        <v>4,4,4,</v>
      </c>
      <c r="AM236" s="60" t="str">
        <f t="shared" si="378"/>
        <v>[4,4,4]</v>
      </c>
      <c r="AN236" s="60" t="str">
        <f>VLOOKUP(T236,物品id!$A:$B,2,FALSE)&amp;","</f>
        <v>102,</v>
      </c>
      <c r="AO236" s="17" t="str">
        <f t="shared" si="391"/>
        <v>[102]</v>
      </c>
      <c r="AP236" s="60" t="str">
        <f t="shared" si="383"/>
        <v>120,</v>
      </c>
      <c r="AQ236" s="17" t="str">
        <f t="shared" si="392"/>
        <v>[120]</v>
      </c>
      <c r="AR236" s="60" t="str">
        <f>IF(V236="","",VLOOKUP(V236,物品id!$A:$B,2,FALSE)&amp;",")</f>
        <v>20033,</v>
      </c>
      <c r="AS236" s="60" t="str">
        <f>IF(W236="","",VLOOKUP(W236,物品id!$A:$B,2,FALSE)&amp;",")</f>
        <v>102,</v>
      </c>
      <c r="AT236" s="60" t="str">
        <f t="shared" si="379"/>
        <v>20033,102,</v>
      </c>
      <c r="AU236" s="60" t="str">
        <f t="shared" si="380"/>
        <v>[20033,102]</v>
      </c>
      <c r="AV236" s="60" t="str">
        <f t="shared" si="384"/>
        <v>1,</v>
      </c>
      <c r="AW236" s="60" t="str">
        <f t="shared" si="385"/>
        <v>720,</v>
      </c>
      <c r="AX236" s="60" t="str">
        <f t="shared" si="381"/>
        <v>1,720,</v>
      </c>
      <c r="AY236" s="60" t="str">
        <f t="shared" si="382"/>
        <v>[1,720]</v>
      </c>
    </row>
    <row r="237" spans="1:51" s="60" customFormat="1" x14ac:dyDescent="0.2">
      <c r="A237" s="60">
        <v>6</v>
      </c>
      <c r="B237" s="60" t="s">
        <v>1132</v>
      </c>
      <c r="C237" s="60">
        <v>64</v>
      </c>
      <c r="D237" s="34" t="s">
        <v>1169</v>
      </c>
      <c r="E237" s="60" t="s">
        <v>1017</v>
      </c>
      <c r="F237" s="60">
        <v>3</v>
      </c>
      <c r="G237" s="60" t="s">
        <v>819</v>
      </c>
      <c r="H237" s="60" t="s">
        <v>818</v>
      </c>
      <c r="I237" s="60" t="s">
        <v>221</v>
      </c>
      <c r="J237" s="17">
        <v>0</v>
      </c>
      <c r="K237" s="17">
        <v>0</v>
      </c>
      <c r="L237" s="17">
        <v>0</v>
      </c>
      <c r="M237" s="35">
        <f>(IF(G237="",挂机玩法规划!$L$2,VLOOKUP(G237,物品id!A:D,4,FALSE)*IF(J237=0,1,4))*IF(J237=0,1,J237)+IF(H237="",挂机玩法规划!$L$2,VLOOKUP(H237,物品id!A:D,4,FALSE)*IF(K237=0,1,4))*IF(K237=0,1,K237)+IF(I237="",挂机玩法规划!$L$2,VLOOKUP(I237,物品id!A:D,4,FALSE)*IF(L237=0,1,4))*IF(L237=0,1,L237))/O237</f>
        <v>0.25</v>
      </c>
      <c r="N237" s="44">
        <f>IF(G237="",挂机玩法规划!$L$2,VLOOKUP(G237,物品id!A:D,4,FALSE)*4)+IF(H237="",挂机玩法规划!$L$2,VLOOKUP(H237,物品id!A:D,4,FALSE)*4)+IF(I237="",挂机玩法规划!$L$2,VLOOKUP(I237,物品id!A:D,4,FALSE)*4)</f>
        <v>360</v>
      </c>
      <c r="O237" s="61">
        <v>360</v>
      </c>
      <c r="P237" s="60">
        <v>4</v>
      </c>
      <c r="Q237" s="60">
        <v>4</v>
      </c>
      <c r="R237" s="60">
        <v>4</v>
      </c>
      <c r="S237" s="60">
        <v>120</v>
      </c>
      <c r="T237" s="60" t="s">
        <v>835</v>
      </c>
      <c r="U237" s="60">
        <v>120</v>
      </c>
      <c r="V237" s="60" t="s">
        <v>837</v>
      </c>
      <c r="W237" s="60" t="s">
        <v>200</v>
      </c>
      <c r="X237" s="60">
        <v>1</v>
      </c>
      <c r="Y237" s="60">
        <f>U237*挂机玩法规划!$O$4*VLOOKUP(E237,挂机玩法规划!$G$2:$I$17,3,FALSE)</f>
        <v>720</v>
      </c>
      <c r="Z237" s="17">
        <f t="shared" si="386"/>
        <v>0.25</v>
      </c>
      <c r="AA237" s="17">
        <f t="shared" si="387"/>
        <v>180</v>
      </c>
      <c r="AB237" s="17">
        <f>(VLOOKUP(V237,物品id!A:E,5,FALSE)*挂机玩法填表!Z237+VLOOKUP(挂机玩法填表!W237,物品id!A:E,5,FALSE)*挂机玩法填表!AA237)/(U237/60)</f>
        <v>16.98</v>
      </c>
      <c r="AD237" s="60" t="str">
        <f>IF(G237="","",VLOOKUP(G237,物品id!$A:$B,2,FALSE)&amp;",")</f>
        <v>2331,</v>
      </c>
      <c r="AE237" s="60" t="str">
        <f>IF(H237="","",VLOOKUP(H237,物品id!$A:$B,2,FALSE)&amp;",")</f>
        <v>2321,</v>
      </c>
      <c r="AF237" s="60" t="str">
        <f>IF(I237="","",VLOOKUP(I237,物品id!$A:$B,2,FALSE)&amp;",")</f>
        <v>2341,</v>
      </c>
      <c r="AG237" s="60" t="str">
        <f t="shared" si="375"/>
        <v>2331,2321,2341,</v>
      </c>
      <c r="AH237" s="60" t="str">
        <f t="shared" si="376"/>
        <v>[2331,2321,2341]</v>
      </c>
      <c r="AI237" s="17" t="str">
        <f t="shared" si="388"/>
        <v>4,</v>
      </c>
      <c r="AJ237" s="17" t="str">
        <f t="shared" si="389"/>
        <v>4,</v>
      </c>
      <c r="AK237" s="17" t="str">
        <f t="shared" si="390"/>
        <v>4,</v>
      </c>
      <c r="AL237" s="60" t="str">
        <f t="shared" si="377"/>
        <v>4,4,4,</v>
      </c>
      <c r="AM237" s="60" t="str">
        <f t="shared" si="378"/>
        <v>[4,4,4]</v>
      </c>
      <c r="AN237" s="60" t="str">
        <f>VLOOKUP(T237,物品id!$A:$B,2,FALSE)&amp;","</f>
        <v>102,</v>
      </c>
      <c r="AO237" s="17" t="str">
        <f t="shared" si="391"/>
        <v>[102]</v>
      </c>
      <c r="AP237" s="60" t="str">
        <f t="shared" si="383"/>
        <v>120,</v>
      </c>
      <c r="AQ237" s="17" t="str">
        <f t="shared" si="392"/>
        <v>[120]</v>
      </c>
      <c r="AR237" s="60" t="str">
        <f>IF(V237="","",VLOOKUP(V237,物品id!$A:$B,2,FALSE)&amp;",")</f>
        <v>20033,</v>
      </c>
      <c r="AS237" s="60" t="str">
        <f>IF(W237="","",VLOOKUP(W237,物品id!$A:$B,2,FALSE)&amp;",")</f>
        <v>102,</v>
      </c>
      <c r="AT237" s="60" t="str">
        <f t="shared" si="379"/>
        <v>20033,102,</v>
      </c>
      <c r="AU237" s="60" t="str">
        <f t="shared" si="380"/>
        <v>[20033,102]</v>
      </c>
      <c r="AV237" s="60" t="str">
        <f t="shared" si="384"/>
        <v>1,</v>
      </c>
      <c r="AW237" s="60" t="str">
        <f t="shared" si="385"/>
        <v>720,</v>
      </c>
      <c r="AX237" s="60" t="str">
        <f t="shared" si="381"/>
        <v>1,720,</v>
      </c>
      <c r="AY237" s="60" t="str">
        <f t="shared" si="382"/>
        <v>[1,720]</v>
      </c>
    </row>
    <row r="238" spans="1:51" s="60" customFormat="1" x14ac:dyDescent="0.2">
      <c r="A238" s="60">
        <v>6</v>
      </c>
      <c r="B238" s="60" t="s">
        <v>1132</v>
      </c>
      <c r="C238" s="60">
        <v>64</v>
      </c>
      <c r="D238" s="34" t="s">
        <v>1169</v>
      </c>
      <c r="E238" s="60" t="s">
        <v>1017</v>
      </c>
      <c r="F238" s="60">
        <v>3</v>
      </c>
      <c r="G238" s="60" t="s">
        <v>829</v>
      </c>
      <c r="H238" s="60" t="s">
        <v>828</v>
      </c>
      <c r="I238" s="60" t="s">
        <v>830</v>
      </c>
      <c r="J238" s="17">
        <v>0</v>
      </c>
      <c r="K238" s="17">
        <v>0</v>
      </c>
      <c r="L238" s="17">
        <v>0</v>
      </c>
      <c r="M238" s="35">
        <f>(IF(G238="",挂机玩法规划!$L$2,VLOOKUP(G238,物品id!A:D,4,FALSE)*IF(J238=0,1,4))*IF(J238=0,1,J238)+IF(H238="",挂机玩法规划!$L$2,VLOOKUP(H238,物品id!A:D,4,FALSE)*IF(K238=0,1,4))*IF(K238=0,1,K238)+IF(I238="",挂机玩法规划!$L$2,VLOOKUP(I238,物品id!A:D,4,FALSE)*IF(L238=0,1,4))*IF(L238=0,1,L238))/O238</f>
        <v>0.25</v>
      </c>
      <c r="N238" s="44">
        <f>IF(G238="",挂机玩法规划!$L$2,VLOOKUP(G238,物品id!A:D,4,FALSE)*4)+IF(H238="",挂机玩法规划!$L$2,VLOOKUP(H238,物品id!A:D,4,FALSE)*4)+IF(I238="",挂机玩法规划!$L$2,VLOOKUP(I238,物品id!A:D,4,FALSE)*4)</f>
        <v>360</v>
      </c>
      <c r="O238" s="61">
        <v>360</v>
      </c>
      <c r="P238" s="60">
        <v>4</v>
      </c>
      <c r="Q238" s="60">
        <v>4</v>
      </c>
      <c r="R238" s="60">
        <v>4</v>
      </c>
      <c r="S238" s="60">
        <v>120</v>
      </c>
      <c r="T238" s="60" t="s">
        <v>835</v>
      </c>
      <c r="U238" s="60">
        <v>120</v>
      </c>
      <c r="V238" s="60" t="s">
        <v>837</v>
      </c>
      <c r="W238" s="60" t="s">
        <v>200</v>
      </c>
      <c r="X238" s="60">
        <v>1</v>
      </c>
      <c r="Y238" s="60">
        <f>U238*挂机玩法规划!$O$4*VLOOKUP(E238,挂机玩法规划!$G$2:$I$17,3,FALSE)</f>
        <v>720</v>
      </c>
      <c r="Z238" s="17">
        <f t="shared" si="386"/>
        <v>0.25</v>
      </c>
      <c r="AA238" s="17">
        <f t="shared" si="387"/>
        <v>180</v>
      </c>
      <c r="AB238" s="17">
        <f>(VLOOKUP(V238,物品id!A:E,5,FALSE)*挂机玩法填表!Z238+VLOOKUP(挂机玩法填表!W238,物品id!A:E,5,FALSE)*挂机玩法填表!AA238)/(U238/60)</f>
        <v>16.98</v>
      </c>
      <c r="AD238" s="60" t="str">
        <f>IF(G238="","",VLOOKUP(G238,物品id!$A:$B,2,FALSE)&amp;",")</f>
        <v>3331,</v>
      </c>
      <c r="AE238" s="60" t="str">
        <f>IF(H238="","",VLOOKUP(H238,物品id!$A:$B,2,FALSE)&amp;",")</f>
        <v>3321,</v>
      </c>
      <c r="AF238" s="60" t="str">
        <f>IF(I238="","",VLOOKUP(I238,物品id!$A:$B,2,FALSE)&amp;",")</f>
        <v>3341,</v>
      </c>
      <c r="AG238" s="60" t="str">
        <f t="shared" si="375"/>
        <v>3331,3321,3341,</v>
      </c>
      <c r="AH238" s="60" t="str">
        <f t="shared" si="376"/>
        <v>[3331,3321,3341]</v>
      </c>
      <c r="AI238" s="17" t="str">
        <f t="shared" si="388"/>
        <v>4,</v>
      </c>
      <c r="AJ238" s="17" t="str">
        <f t="shared" si="389"/>
        <v>4,</v>
      </c>
      <c r="AK238" s="17" t="str">
        <f t="shared" si="390"/>
        <v>4,</v>
      </c>
      <c r="AL238" s="60" t="str">
        <f t="shared" si="377"/>
        <v>4,4,4,</v>
      </c>
      <c r="AM238" s="60" t="str">
        <f t="shared" si="378"/>
        <v>[4,4,4]</v>
      </c>
      <c r="AN238" s="60" t="str">
        <f>VLOOKUP(T238,物品id!$A:$B,2,FALSE)&amp;","</f>
        <v>102,</v>
      </c>
      <c r="AO238" s="17" t="str">
        <f t="shared" si="391"/>
        <v>[102]</v>
      </c>
      <c r="AP238" s="60" t="str">
        <f t="shared" si="383"/>
        <v>120,</v>
      </c>
      <c r="AQ238" s="17" t="str">
        <f t="shared" si="392"/>
        <v>[120]</v>
      </c>
      <c r="AR238" s="60" t="str">
        <f>IF(V238="","",VLOOKUP(V238,物品id!$A:$B,2,FALSE)&amp;",")</f>
        <v>20033,</v>
      </c>
      <c r="AS238" s="60" t="str">
        <f>IF(W238="","",VLOOKUP(W238,物品id!$A:$B,2,FALSE)&amp;",")</f>
        <v>102,</v>
      </c>
      <c r="AT238" s="60" t="str">
        <f t="shared" si="379"/>
        <v>20033,102,</v>
      </c>
      <c r="AU238" s="60" t="str">
        <f t="shared" si="380"/>
        <v>[20033,102]</v>
      </c>
      <c r="AV238" s="60" t="str">
        <f t="shared" si="384"/>
        <v>1,</v>
      </c>
      <c r="AW238" s="60" t="str">
        <f t="shared" si="385"/>
        <v>720,</v>
      </c>
      <c r="AX238" s="60" t="str">
        <f t="shared" si="381"/>
        <v>1,720,</v>
      </c>
      <c r="AY238" s="60" t="str">
        <f t="shared" si="382"/>
        <v>[1,720]</v>
      </c>
    </row>
    <row r="239" spans="1:51" s="60" customFormat="1" x14ac:dyDescent="0.2">
      <c r="A239" s="60">
        <v>6</v>
      </c>
      <c r="B239" s="60" t="s">
        <v>1132</v>
      </c>
      <c r="C239" s="60">
        <v>64</v>
      </c>
      <c r="D239" s="34" t="s">
        <v>1169</v>
      </c>
      <c r="E239" s="60" t="s">
        <v>1017</v>
      </c>
      <c r="F239" s="60">
        <v>3</v>
      </c>
      <c r="G239" s="60" t="s">
        <v>808</v>
      </c>
      <c r="H239" s="60" t="s">
        <v>807</v>
      </c>
      <c r="I239" s="60" t="s">
        <v>809</v>
      </c>
      <c r="J239" s="17">
        <v>0</v>
      </c>
      <c r="K239" s="17">
        <v>0</v>
      </c>
      <c r="L239" s="17">
        <v>0</v>
      </c>
      <c r="M239" s="35">
        <f>(IF(G239="",挂机玩法规划!$L$2,VLOOKUP(G239,物品id!A:D,4,FALSE)*IF(J239=0,1,4))*IF(J239=0,1,J239)+IF(H239="",挂机玩法规划!$L$2,VLOOKUP(H239,物品id!A:D,4,FALSE)*IF(K239=0,1,4))*IF(K239=0,1,K239)+IF(I239="",挂机玩法规划!$L$2,VLOOKUP(I239,物品id!A:D,4,FALSE)*IF(L239=0,1,4))*IF(L239=0,1,L239))/O239</f>
        <v>0.25</v>
      </c>
      <c r="N239" s="44">
        <f>IF(G239="",挂机玩法规划!$L$2,VLOOKUP(G239,物品id!A:D,4,FALSE)*4)+IF(H239="",挂机玩法规划!$L$2,VLOOKUP(H239,物品id!A:D,4,FALSE)*4)+IF(I239="",挂机玩法规划!$L$2,VLOOKUP(I239,物品id!A:D,4,FALSE)*4)</f>
        <v>360</v>
      </c>
      <c r="O239" s="61">
        <v>360</v>
      </c>
      <c r="P239" s="60">
        <v>4</v>
      </c>
      <c r="Q239" s="60">
        <v>4</v>
      </c>
      <c r="R239" s="60">
        <v>4</v>
      </c>
      <c r="S239" s="60">
        <v>240</v>
      </c>
      <c r="T239" s="60" t="s">
        <v>835</v>
      </c>
      <c r="U239" s="60">
        <v>240</v>
      </c>
      <c r="V239" s="60" t="s">
        <v>837</v>
      </c>
      <c r="W239" s="60" t="s">
        <v>200</v>
      </c>
      <c r="X239" s="60">
        <v>2</v>
      </c>
      <c r="Y239" s="60">
        <f>U239*挂机玩法规划!$O$4*VLOOKUP(E239,挂机玩法规划!$G$2:$I$17,3,FALSE)</f>
        <v>1440</v>
      </c>
      <c r="Z239" s="17">
        <f t="shared" si="386"/>
        <v>0.5</v>
      </c>
      <c r="AA239" s="17">
        <f t="shared" si="387"/>
        <v>360</v>
      </c>
      <c r="AB239" s="17">
        <f>(VLOOKUP(V239,物品id!A:E,5,FALSE)*挂机玩法填表!Z239+VLOOKUP(挂机玩法填表!W239,物品id!A:E,5,FALSE)*挂机玩法填表!AA239)/(U239/60)</f>
        <v>16.98</v>
      </c>
      <c r="AD239" s="60" t="str">
        <f>IF(G239="","",VLOOKUP(G239,物品id!$A:$B,2,FALSE)&amp;",")</f>
        <v>1331,</v>
      </c>
      <c r="AE239" s="60" t="str">
        <f>IF(H239="","",VLOOKUP(H239,物品id!$A:$B,2,FALSE)&amp;",")</f>
        <v>1321,</v>
      </c>
      <c r="AF239" s="60" t="str">
        <f>IF(I239="","",VLOOKUP(I239,物品id!$A:$B,2,FALSE)&amp;",")</f>
        <v>1341,</v>
      </c>
      <c r="AG239" s="60" t="str">
        <f t="shared" si="375"/>
        <v>1331,1321,1341,</v>
      </c>
      <c r="AH239" s="60" t="str">
        <f t="shared" si="376"/>
        <v>[1331,1321,1341]</v>
      </c>
      <c r="AI239" s="17" t="str">
        <f t="shared" si="388"/>
        <v>4,</v>
      </c>
      <c r="AJ239" s="17" t="str">
        <f t="shared" si="389"/>
        <v>4,</v>
      </c>
      <c r="AK239" s="17" t="str">
        <f t="shared" si="390"/>
        <v>4,</v>
      </c>
      <c r="AL239" s="60" t="str">
        <f t="shared" si="377"/>
        <v>4,4,4,</v>
      </c>
      <c r="AM239" s="60" t="str">
        <f t="shared" si="378"/>
        <v>[4,4,4]</v>
      </c>
      <c r="AN239" s="60" t="str">
        <f>VLOOKUP(T239,物品id!$A:$B,2,FALSE)&amp;","</f>
        <v>102,</v>
      </c>
      <c r="AO239" s="17" t="str">
        <f t="shared" si="391"/>
        <v>[102]</v>
      </c>
      <c r="AP239" s="60" t="str">
        <f t="shared" si="383"/>
        <v>240,</v>
      </c>
      <c r="AQ239" s="17" t="str">
        <f t="shared" si="392"/>
        <v>[240]</v>
      </c>
      <c r="AR239" s="60" t="str">
        <f>IF(V239="","",VLOOKUP(V239,物品id!$A:$B,2,FALSE)&amp;",")</f>
        <v>20033,</v>
      </c>
      <c r="AS239" s="60" t="str">
        <f>IF(W239="","",VLOOKUP(W239,物品id!$A:$B,2,FALSE)&amp;",")</f>
        <v>102,</v>
      </c>
      <c r="AT239" s="60" t="str">
        <f t="shared" si="379"/>
        <v>20033,102,</v>
      </c>
      <c r="AU239" s="60" t="str">
        <f t="shared" si="380"/>
        <v>[20033,102]</v>
      </c>
      <c r="AV239" s="60" t="str">
        <f t="shared" si="384"/>
        <v>2,</v>
      </c>
      <c r="AW239" s="60" t="str">
        <f t="shared" si="385"/>
        <v>1440,</v>
      </c>
      <c r="AX239" s="60" t="str">
        <f t="shared" si="381"/>
        <v>2,1440,</v>
      </c>
      <c r="AY239" s="60" t="str">
        <f t="shared" si="382"/>
        <v>[2,1440]</v>
      </c>
    </row>
    <row r="240" spans="1:51" s="60" customFormat="1" x14ac:dyDescent="0.2">
      <c r="A240" s="60">
        <v>6</v>
      </c>
      <c r="B240" s="60" t="s">
        <v>1132</v>
      </c>
      <c r="C240" s="60">
        <v>64</v>
      </c>
      <c r="D240" s="34" t="s">
        <v>1169</v>
      </c>
      <c r="E240" s="60" t="s">
        <v>1017</v>
      </c>
      <c r="F240" s="60">
        <v>3</v>
      </c>
      <c r="G240" s="60" t="s">
        <v>819</v>
      </c>
      <c r="H240" s="60" t="s">
        <v>818</v>
      </c>
      <c r="I240" s="60" t="s">
        <v>221</v>
      </c>
      <c r="J240" s="17">
        <v>0</v>
      </c>
      <c r="K240" s="17">
        <v>0</v>
      </c>
      <c r="L240" s="17">
        <v>0</v>
      </c>
      <c r="M240" s="35">
        <f>(IF(G240="",挂机玩法规划!$L$2,VLOOKUP(G240,物品id!A:D,4,FALSE)*IF(J240=0,1,4))*IF(J240=0,1,J240)+IF(H240="",挂机玩法规划!$L$2,VLOOKUP(H240,物品id!A:D,4,FALSE)*IF(K240=0,1,4))*IF(K240=0,1,K240)+IF(I240="",挂机玩法规划!$L$2,VLOOKUP(I240,物品id!A:D,4,FALSE)*IF(L240=0,1,4))*IF(L240=0,1,L240))/O240</f>
        <v>0.25</v>
      </c>
      <c r="N240" s="44">
        <f>IF(G240="",挂机玩法规划!$L$2,VLOOKUP(G240,物品id!A:D,4,FALSE)*4)+IF(H240="",挂机玩法规划!$L$2,VLOOKUP(H240,物品id!A:D,4,FALSE)*4)+IF(I240="",挂机玩法规划!$L$2,VLOOKUP(I240,物品id!A:D,4,FALSE)*4)</f>
        <v>360</v>
      </c>
      <c r="O240" s="61">
        <v>360</v>
      </c>
      <c r="P240" s="60">
        <v>4</v>
      </c>
      <c r="Q240" s="60">
        <v>4</v>
      </c>
      <c r="R240" s="60">
        <v>4</v>
      </c>
      <c r="S240" s="60">
        <v>240</v>
      </c>
      <c r="T240" s="60" t="s">
        <v>835</v>
      </c>
      <c r="U240" s="60">
        <v>240</v>
      </c>
      <c r="V240" s="60" t="s">
        <v>837</v>
      </c>
      <c r="W240" s="60" t="s">
        <v>200</v>
      </c>
      <c r="X240" s="60">
        <v>2</v>
      </c>
      <c r="Y240" s="60">
        <f>U240*挂机玩法规划!$O$4*VLOOKUP(E240,挂机玩法规划!$G$2:$I$17,3,FALSE)</f>
        <v>1440</v>
      </c>
      <c r="Z240" s="17">
        <f t="shared" si="386"/>
        <v>0.5</v>
      </c>
      <c r="AA240" s="17">
        <f t="shared" si="387"/>
        <v>360</v>
      </c>
      <c r="AB240" s="17">
        <f>(VLOOKUP(V240,物品id!A:E,5,FALSE)*挂机玩法填表!Z240+VLOOKUP(挂机玩法填表!W240,物品id!A:E,5,FALSE)*挂机玩法填表!AA240)/(U240/60)</f>
        <v>16.98</v>
      </c>
      <c r="AD240" s="60" t="str">
        <f>IF(G240="","",VLOOKUP(G240,物品id!$A:$B,2,FALSE)&amp;",")</f>
        <v>2331,</v>
      </c>
      <c r="AE240" s="60" t="str">
        <f>IF(H240="","",VLOOKUP(H240,物品id!$A:$B,2,FALSE)&amp;",")</f>
        <v>2321,</v>
      </c>
      <c r="AF240" s="60" t="str">
        <f>IF(I240="","",VLOOKUP(I240,物品id!$A:$B,2,FALSE)&amp;",")</f>
        <v>2341,</v>
      </c>
      <c r="AG240" s="60" t="str">
        <f t="shared" si="375"/>
        <v>2331,2321,2341,</v>
      </c>
      <c r="AH240" s="60" t="str">
        <f t="shared" si="376"/>
        <v>[2331,2321,2341]</v>
      </c>
      <c r="AI240" s="17" t="str">
        <f t="shared" si="388"/>
        <v>4,</v>
      </c>
      <c r="AJ240" s="17" t="str">
        <f t="shared" si="389"/>
        <v>4,</v>
      </c>
      <c r="AK240" s="17" t="str">
        <f t="shared" si="390"/>
        <v>4,</v>
      </c>
      <c r="AL240" s="60" t="str">
        <f t="shared" si="377"/>
        <v>4,4,4,</v>
      </c>
      <c r="AM240" s="60" t="str">
        <f t="shared" si="378"/>
        <v>[4,4,4]</v>
      </c>
      <c r="AN240" s="60" t="str">
        <f>VLOOKUP(T240,物品id!$A:$B,2,FALSE)&amp;","</f>
        <v>102,</v>
      </c>
      <c r="AO240" s="17" t="str">
        <f t="shared" si="391"/>
        <v>[102]</v>
      </c>
      <c r="AP240" s="60" t="str">
        <f t="shared" si="383"/>
        <v>240,</v>
      </c>
      <c r="AQ240" s="17" t="str">
        <f t="shared" si="392"/>
        <v>[240]</v>
      </c>
      <c r="AR240" s="60" t="str">
        <f>IF(V240="","",VLOOKUP(V240,物品id!$A:$B,2,FALSE)&amp;",")</f>
        <v>20033,</v>
      </c>
      <c r="AS240" s="60" t="str">
        <f>IF(W240="","",VLOOKUP(W240,物品id!$A:$B,2,FALSE)&amp;",")</f>
        <v>102,</v>
      </c>
      <c r="AT240" s="60" t="str">
        <f t="shared" si="379"/>
        <v>20033,102,</v>
      </c>
      <c r="AU240" s="60" t="str">
        <f t="shared" si="380"/>
        <v>[20033,102]</v>
      </c>
      <c r="AV240" s="60" t="str">
        <f t="shared" si="384"/>
        <v>2,</v>
      </c>
      <c r="AW240" s="60" t="str">
        <f t="shared" si="385"/>
        <v>1440,</v>
      </c>
      <c r="AX240" s="60" t="str">
        <f t="shared" si="381"/>
        <v>2,1440,</v>
      </c>
      <c r="AY240" s="60" t="str">
        <f t="shared" si="382"/>
        <v>[2,1440]</v>
      </c>
    </row>
    <row r="241" spans="1:51" s="60" customFormat="1" x14ac:dyDescent="0.2">
      <c r="A241" s="60">
        <v>6</v>
      </c>
      <c r="B241" s="60" t="s">
        <v>1132</v>
      </c>
      <c r="C241" s="60">
        <v>64</v>
      </c>
      <c r="D241" s="34" t="s">
        <v>1169</v>
      </c>
      <c r="E241" s="60" t="s">
        <v>1017</v>
      </c>
      <c r="F241" s="60">
        <v>3</v>
      </c>
      <c r="G241" s="60" t="s">
        <v>829</v>
      </c>
      <c r="H241" s="60" t="s">
        <v>828</v>
      </c>
      <c r="I241" s="60" t="s">
        <v>830</v>
      </c>
      <c r="J241" s="17">
        <v>0</v>
      </c>
      <c r="K241" s="17">
        <v>0</v>
      </c>
      <c r="L241" s="17">
        <v>0</v>
      </c>
      <c r="M241" s="35">
        <f>(IF(G241="",挂机玩法规划!$L$2,VLOOKUP(G241,物品id!A:D,4,FALSE)*IF(J241=0,1,4))*IF(J241=0,1,J241)+IF(H241="",挂机玩法规划!$L$2,VLOOKUP(H241,物品id!A:D,4,FALSE)*IF(K241=0,1,4))*IF(K241=0,1,K241)+IF(I241="",挂机玩法规划!$L$2,VLOOKUP(I241,物品id!A:D,4,FALSE)*IF(L241=0,1,4))*IF(L241=0,1,L241))/O241</f>
        <v>0.25</v>
      </c>
      <c r="N241" s="44">
        <f>IF(G241="",挂机玩法规划!$L$2,VLOOKUP(G241,物品id!A:D,4,FALSE)*4)+IF(H241="",挂机玩法规划!$L$2,VLOOKUP(H241,物品id!A:D,4,FALSE)*4)+IF(I241="",挂机玩法规划!$L$2,VLOOKUP(I241,物品id!A:D,4,FALSE)*4)</f>
        <v>360</v>
      </c>
      <c r="O241" s="61">
        <v>360</v>
      </c>
      <c r="P241" s="60">
        <v>4</v>
      </c>
      <c r="Q241" s="60">
        <v>4</v>
      </c>
      <c r="R241" s="60">
        <v>4</v>
      </c>
      <c r="S241" s="60">
        <v>240</v>
      </c>
      <c r="T241" s="60" t="s">
        <v>835</v>
      </c>
      <c r="U241" s="60">
        <v>240</v>
      </c>
      <c r="V241" s="60" t="s">
        <v>837</v>
      </c>
      <c r="W241" s="60" t="s">
        <v>200</v>
      </c>
      <c r="X241" s="60">
        <v>2</v>
      </c>
      <c r="Y241" s="60">
        <f>U241*挂机玩法规划!$O$4*VLOOKUP(E241,挂机玩法规划!$G$2:$I$17,3,FALSE)</f>
        <v>1440</v>
      </c>
      <c r="Z241" s="17">
        <f t="shared" si="386"/>
        <v>0.5</v>
      </c>
      <c r="AA241" s="17">
        <f t="shared" si="387"/>
        <v>360</v>
      </c>
      <c r="AB241" s="17">
        <f>(VLOOKUP(V241,物品id!A:E,5,FALSE)*挂机玩法填表!Z241+VLOOKUP(挂机玩法填表!W241,物品id!A:E,5,FALSE)*挂机玩法填表!AA241)/(U241/60)</f>
        <v>16.98</v>
      </c>
      <c r="AD241" s="60" t="str">
        <f>IF(G241="","",VLOOKUP(G241,物品id!$A:$B,2,FALSE)&amp;",")</f>
        <v>3331,</v>
      </c>
      <c r="AE241" s="60" t="str">
        <f>IF(H241="","",VLOOKUP(H241,物品id!$A:$B,2,FALSE)&amp;",")</f>
        <v>3321,</v>
      </c>
      <c r="AF241" s="60" t="str">
        <f>IF(I241="","",VLOOKUP(I241,物品id!$A:$B,2,FALSE)&amp;",")</f>
        <v>3341,</v>
      </c>
      <c r="AG241" s="60" t="str">
        <f t="shared" si="375"/>
        <v>3331,3321,3341,</v>
      </c>
      <c r="AH241" s="60" t="str">
        <f t="shared" si="376"/>
        <v>[3331,3321,3341]</v>
      </c>
      <c r="AI241" s="17" t="str">
        <f t="shared" si="388"/>
        <v>4,</v>
      </c>
      <c r="AJ241" s="17" t="str">
        <f t="shared" si="389"/>
        <v>4,</v>
      </c>
      <c r="AK241" s="17" t="str">
        <f t="shared" si="390"/>
        <v>4,</v>
      </c>
      <c r="AL241" s="60" t="str">
        <f t="shared" si="377"/>
        <v>4,4,4,</v>
      </c>
      <c r="AM241" s="60" t="str">
        <f t="shared" si="378"/>
        <v>[4,4,4]</v>
      </c>
      <c r="AN241" s="60" t="str">
        <f>VLOOKUP(T241,物品id!$A:$B,2,FALSE)&amp;","</f>
        <v>102,</v>
      </c>
      <c r="AO241" s="17" t="str">
        <f t="shared" si="391"/>
        <v>[102]</v>
      </c>
      <c r="AP241" s="60" t="str">
        <f t="shared" si="383"/>
        <v>240,</v>
      </c>
      <c r="AQ241" s="17" t="str">
        <f t="shared" si="392"/>
        <v>[240]</v>
      </c>
      <c r="AR241" s="60" t="str">
        <f>IF(V241="","",VLOOKUP(V241,物品id!$A:$B,2,FALSE)&amp;",")</f>
        <v>20033,</v>
      </c>
      <c r="AS241" s="60" t="str">
        <f>IF(W241="","",VLOOKUP(W241,物品id!$A:$B,2,FALSE)&amp;",")</f>
        <v>102,</v>
      </c>
      <c r="AT241" s="60" t="str">
        <f t="shared" si="379"/>
        <v>20033,102,</v>
      </c>
      <c r="AU241" s="60" t="str">
        <f t="shared" si="380"/>
        <v>[20033,102]</v>
      </c>
      <c r="AV241" s="60" t="str">
        <f t="shared" si="384"/>
        <v>2,</v>
      </c>
      <c r="AW241" s="60" t="str">
        <f t="shared" si="385"/>
        <v>1440,</v>
      </c>
      <c r="AX241" s="60" t="str">
        <f t="shared" si="381"/>
        <v>2,1440,</v>
      </c>
      <c r="AY241" s="60" t="str">
        <f t="shared" si="382"/>
        <v>[2,1440]</v>
      </c>
    </row>
    <row r="242" spans="1:51" s="60" customFormat="1" x14ac:dyDescent="0.2">
      <c r="A242" s="60">
        <v>6</v>
      </c>
      <c r="B242" s="60" t="s">
        <v>1132</v>
      </c>
      <c r="C242" s="60">
        <v>64</v>
      </c>
      <c r="D242" s="34" t="s">
        <v>1169</v>
      </c>
      <c r="E242" s="60" t="s">
        <v>1017</v>
      </c>
      <c r="F242" s="60">
        <v>3</v>
      </c>
      <c r="G242" s="60" t="s">
        <v>808</v>
      </c>
      <c r="H242" s="60" t="s">
        <v>807</v>
      </c>
      <c r="I242" s="60" t="s">
        <v>809</v>
      </c>
      <c r="J242" s="17">
        <v>0</v>
      </c>
      <c r="K242" s="17">
        <v>0</v>
      </c>
      <c r="L242" s="17">
        <v>0</v>
      </c>
      <c r="M242" s="35">
        <f>(IF(G242="",挂机玩法规划!$L$2,VLOOKUP(G242,物品id!A:D,4,FALSE)*IF(J242=0,1,4))*IF(J242=0,1,J242)+IF(H242="",挂机玩法规划!$L$2,VLOOKUP(H242,物品id!A:D,4,FALSE)*IF(K242=0,1,4))*IF(K242=0,1,K242)+IF(I242="",挂机玩法规划!$L$2,VLOOKUP(I242,物品id!A:D,4,FALSE)*IF(L242=0,1,4))*IF(L242=0,1,L242))/O242</f>
        <v>0.25</v>
      </c>
      <c r="N242" s="44">
        <f>IF(G242="",挂机玩法规划!$L$2,VLOOKUP(G242,物品id!A:D,4,FALSE)*4)+IF(H242="",挂机玩法规划!$L$2,VLOOKUP(H242,物品id!A:D,4,FALSE)*4)+IF(I242="",挂机玩法规划!$L$2,VLOOKUP(I242,物品id!A:D,4,FALSE)*4)</f>
        <v>360</v>
      </c>
      <c r="O242" s="61">
        <v>360</v>
      </c>
      <c r="P242" s="60">
        <v>4</v>
      </c>
      <c r="Q242" s="60">
        <v>4</v>
      </c>
      <c r="R242" s="60">
        <v>4</v>
      </c>
      <c r="S242" s="60">
        <v>480</v>
      </c>
      <c r="T242" s="60" t="s">
        <v>835</v>
      </c>
      <c r="U242" s="60">
        <v>480</v>
      </c>
      <c r="V242" s="60" t="s">
        <v>837</v>
      </c>
      <c r="W242" s="60" t="s">
        <v>200</v>
      </c>
      <c r="X242" s="60">
        <v>3</v>
      </c>
      <c r="Y242" s="60">
        <f>U242*挂机玩法规划!$O$4*VLOOKUP(E242,挂机玩法规划!$G$2:$I$17,3,FALSE)</f>
        <v>2880</v>
      </c>
      <c r="Z242" s="17">
        <f t="shared" si="386"/>
        <v>0.75</v>
      </c>
      <c r="AA242" s="17">
        <f t="shared" si="387"/>
        <v>720</v>
      </c>
      <c r="AB242" s="17">
        <f>(VLOOKUP(V242,物品id!A:E,5,FALSE)*挂机玩法填表!Z242+VLOOKUP(挂机玩法填表!W242,物品id!A:E,5,FALSE)*挂机玩法填表!AA242)/(U242/60)</f>
        <v>13.23</v>
      </c>
      <c r="AD242" s="60" t="str">
        <f>IF(G242="","",VLOOKUP(G242,物品id!$A:$B,2,FALSE)&amp;",")</f>
        <v>1331,</v>
      </c>
      <c r="AE242" s="60" t="str">
        <f>IF(H242="","",VLOOKUP(H242,物品id!$A:$B,2,FALSE)&amp;",")</f>
        <v>1321,</v>
      </c>
      <c r="AF242" s="60" t="str">
        <f>IF(I242="","",VLOOKUP(I242,物品id!$A:$B,2,FALSE)&amp;",")</f>
        <v>1341,</v>
      </c>
      <c r="AG242" s="60" t="str">
        <f t="shared" si="375"/>
        <v>1331,1321,1341,</v>
      </c>
      <c r="AH242" s="60" t="str">
        <f t="shared" si="376"/>
        <v>[1331,1321,1341]</v>
      </c>
      <c r="AI242" s="17" t="str">
        <f t="shared" si="388"/>
        <v>4,</v>
      </c>
      <c r="AJ242" s="17" t="str">
        <f t="shared" si="389"/>
        <v>4,</v>
      </c>
      <c r="AK242" s="17" t="str">
        <f t="shared" si="390"/>
        <v>4,</v>
      </c>
      <c r="AL242" s="60" t="str">
        <f t="shared" si="377"/>
        <v>4,4,4,</v>
      </c>
      <c r="AM242" s="60" t="str">
        <f t="shared" si="378"/>
        <v>[4,4,4]</v>
      </c>
      <c r="AN242" s="60" t="str">
        <f>VLOOKUP(T242,物品id!$A:$B,2,FALSE)&amp;","</f>
        <v>102,</v>
      </c>
      <c r="AO242" s="17" t="str">
        <f t="shared" si="391"/>
        <v>[102]</v>
      </c>
      <c r="AP242" s="60" t="str">
        <f t="shared" si="383"/>
        <v>480,</v>
      </c>
      <c r="AQ242" s="17" t="str">
        <f t="shared" si="392"/>
        <v>[480]</v>
      </c>
      <c r="AR242" s="60" t="str">
        <f>IF(V242="","",VLOOKUP(V242,物品id!$A:$B,2,FALSE)&amp;",")</f>
        <v>20033,</v>
      </c>
      <c r="AS242" s="60" t="str">
        <f>IF(W242="","",VLOOKUP(W242,物品id!$A:$B,2,FALSE)&amp;",")</f>
        <v>102,</v>
      </c>
      <c r="AT242" s="60" t="str">
        <f t="shared" si="379"/>
        <v>20033,102,</v>
      </c>
      <c r="AU242" s="60" t="str">
        <f t="shared" si="380"/>
        <v>[20033,102]</v>
      </c>
      <c r="AV242" s="60" t="str">
        <f t="shared" si="384"/>
        <v>3,</v>
      </c>
      <c r="AW242" s="60" t="str">
        <f t="shared" si="385"/>
        <v>2880,</v>
      </c>
      <c r="AX242" s="60" t="str">
        <f t="shared" si="381"/>
        <v>3,2880,</v>
      </c>
      <c r="AY242" s="60" t="str">
        <f t="shared" si="382"/>
        <v>[3,2880]</v>
      </c>
    </row>
    <row r="243" spans="1:51" s="60" customFormat="1" x14ac:dyDescent="0.2">
      <c r="A243" s="60">
        <v>6</v>
      </c>
      <c r="B243" s="60" t="s">
        <v>1132</v>
      </c>
      <c r="C243" s="60">
        <v>64</v>
      </c>
      <c r="D243" s="34" t="s">
        <v>1169</v>
      </c>
      <c r="E243" s="60" t="s">
        <v>1017</v>
      </c>
      <c r="F243" s="60">
        <v>3</v>
      </c>
      <c r="G243" s="60" t="s">
        <v>819</v>
      </c>
      <c r="H243" s="60" t="s">
        <v>818</v>
      </c>
      <c r="I243" s="60" t="s">
        <v>221</v>
      </c>
      <c r="J243" s="17">
        <v>0</v>
      </c>
      <c r="K243" s="17">
        <v>0</v>
      </c>
      <c r="L243" s="17">
        <v>0</v>
      </c>
      <c r="M243" s="35">
        <f>(IF(G243="",挂机玩法规划!$L$2,VLOOKUP(G243,物品id!A:D,4,FALSE)*IF(J243=0,1,4))*IF(J243=0,1,J243)+IF(H243="",挂机玩法规划!$L$2,VLOOKUP(H243,物品id!A:D,4,FALSE)*IF(K243=0,1,4))*IF(K243=0,1,K243)+IF(I243="",挂机玩法规划!$L$2,VLOOKUP(I243,物品id!A:D,4,FALSE)*IF(L243=0,1,4))*IF(L243=0,1,L243))/O243</f>
        <v>0.25</v>
      </c>
      <c r="N243" s="44">
        <f>IF(G243="",挂机玩法规划!$L$2,VLOOKUP(G243,物品id!A:D,4,FALSE)*4)+IF(H243="",挂机玩法规划!$L$2,VLOOKUP(H243,物品id!A:D,4,FALSE)*4)+IF(I243="",挂机玩法规划!$L$2,VLOOKUP(I243,物品id!A:D,4,FALSE)*4)</f>
        <v>360</v>
      </c>
      <c r="O243" s="61">
        <v>360</v>
      </c>
      <c r="P243" s="60">
        <v>4</v>
      </c>
      <c r="Q243" s="60">
        <v>4</v>
      </c>
      <c r="R243" s="60">
        <v>4</v>
      </c>
      <c r="S243" s="60">
        <v>480</v>
      </c>
      <c r="T243" s="60" t="s">
        <v>835</v>
      </c>
      <c r="U243" s="60">
        <v>480</v>
      </c>
      <c r="V243" s="60" t="s">
        <v>837</v>
      </c>
      <c r="W243" s="60" t="s">
        <v>200</v>
      </c>
      <c r="X243" s="60">
        <v>3</v>
      </c>
      <c r="Y243" s="60">
        <f>U243*挂机玩法规划!$O$4*VLOOKUP(E243,挂机玩法规划!$G$2:$I$17,3,FALSE)</f>
        <v>2880</v>
      </c>
      <c r="Z243" s="17">
        <f t="shared" si="386"/>
        <v>0.75</v>
      </c>
      <c r="AA243" s="17">
        <f t="shared" si="387"/>
        <v>720</v>
      </c>
      <c r="AB243" s="17">
        <f>(VLOOKUP(V243,物品id!A:E,5,FALSE)*挂机玩法填表!Z243+VLOOKUP(挂机玩法填表!W243,物品id!A:E,5,FALSE)*挂机玩法填表!AA243)/(U243/60)</f>
        <v>13.23</v>
      </c>
      <c r="AD243" s="60" t="str">
        <f>IF(G243="","",VLOOKUP(G243,物品id!$A:$B,2,FALSE)&amp;",")</f>
        <v>2331,</v>
      </c>
      <c r="AE243" s="60" t="str">
        <f>IF(H243="","",VLOOKUP(H243,物品id!$A:$B,2,FALSE)&amp;",")</f>
        <v>2321,</v>
      </c>
      <c r="AF243" s="60" t="str">
        <f>IF(I243="","",VLOOKUP(I243,物品id!$A:$B,2,FALSE)&amp;",")</f>
        <v>2341,</v>
      </c>
      <c r="AG243" s="60" t="str">
        <f t="shared" si="375"/>
        <v>2331,2321,2341,</v>
      </c>
      <c r="AH243" s="60" t="str">
        <f t="shared" si="376"/>
        <v>[2331,2321,2341]</v>
      </c>
      <c r="AI243" s="17" t="str">
        <f t="shared" si="388"/>
        <v>4,</v>
      </c>
      <c r="AJ243" s="17" t="str">
        <f t="shared" si="389"/>
        <v>4,</v>
      </c>
      <c r="AK243" s="17" t="str">
        <f t="shared" si="390"/>
        <v>4,</v>
      </c>
      <c r="AL243" s="60" t="str">
        <f t="shared" si="377"/>
        <v>4,4,4,</v>
      </c>
      <c r="AM243" s="60" t="str">
        <f t="shared" si="378"/>
        <v>[4,4,4]</v>
      </c>
      <c r="AN243" s="60" t="str">
        <f>VLOOKUP(T243,物品id!$A:$B,2,FALSE)&amp;","</f>
        <v>102,</v>
      </c>
      <c r="AO243" s="17" t="str">
        <f t="shared" si="391"/>
        <v>[102]</v>
      </c>
      <c r="AP243" s="60" t="str">
        <f t="shared" si="383"/>
        <v>480,</v>
      </c>
      <c r="AQ243" s="17" t="str">
        <f t="shared" si="392"/>
        <v>[480]</v>
      </c>
      <c r="AR243" s="60" t="str">
        <f>IF(V243="","",VLOOKUP(V243,物品id!$A:$B,2,FALSE)&amp;",")</f>
        <v>20033,</v>
      </c>
      <c r="AS243" s="60" t="str">
        <f>IF(W243="","",VLOOKUP(W243,物品id!$A:$B,2,FALSE)&amp;",")</f>
        <v>102,</v>
      </c>
      <c r="AT243" s="60" t="str">
        <f t="shared" si="379"/>
        <v>20033,102,</v>
      </c>
      <c r="AU243" s="60" t="str">
        <f t="shared" si="380"/>
        <v>[20033,102]</v>
      </c>
      <c r="AV243" s="60" t="str">
        <f t="shared" si="384"/>
        <v>3,</v>
      </c>
      <c r="AW243" s="60" t="str">
        <f t="shared" si="385"/>
        <v>2880,</v>
      </c>
      <c r="AX243" s="60" t="str">
        <f t="shared" si="381"/>
        <v>3,2880,</v>
      </c>
      <c r="AY243" s="60" t="str">
        <f t="shared" si="382"/>
        <v>[3,2880]</v>
      </c>
    </row>
    <row r="244" spans="1:51" s="60" customFormat="1" x14ac:dyDescent="0.2">
      <c r="A244" s="60">
        <v>6</v>
      </c>
      <c r="B244" s="60" t="s">
        <v>1132</v>
      </c>
      <c r="C244" s="60">
        <v>64</v>
      </c>
      <c r="D244" s="34" t="s">
        <v>1169</v>
      </c>
      <c r="E244" s="60" t="s">
        <v>1017</v>
      </c>
      <c r="F244" s="60">
        <v>3</v>
      </c>
      <c r="G244" s="60" t="s">
        <v>829</v>
      </c>
      <c r="H244" s="60" t="s">
        <v>828</v>
      </c>
      <c r="I244" s="60" t="s">
        <v>830</v>
      </c>
      <c r="J244" s="17">
        <v>0</v>
      </c>
      <c r="K244" s="17">
        <v>0</v>
      </c>
      <c r="L244" s="17">
        <v>0</v>
      </c>
      <c r="M244" s="35">
        <f>(IF(G244="",挂机玩法规划!$L$2,VLOOKUP(G244,物品id!A:D,4,FALSE)*IF(J244=0,1,4))*IF(J244=0,1,J244)+IF(H244="",挂机玩法规划!$L$2,VLOOKUP(H244,物品id!A:D,4,FALSE)*IF(K244=0,1,4))*IF(K244=0,1,K244)+IF(I244="",挂机玩法规划!$L$2,VLOOKUP(I244,物品id!A:D,4,FALSE)*IF(L244=0,1,4))*IF(L244=0,1,L244))/O244</f>
        <v>0.25</v>
      </c>
      <c r="N244" s="44">
        <f>IF(G244="",挂机玩法规划!$L$2,VLOOKUP(G244,物品id!A:D,4,FALSE)*4)+IF(H244="",挂机玩法规划!$L$2,VLOOKUP(H244,物品id!A:D,4,FALSE)*4)+IF(I244="",挂机玩法规划!$L$2,VLOOKUP(I244,物品id!A:D,4,FALSE)*4)</f>
        <v>360</v>
      </c>
      <c r="O244" s="61">
        <v>360</v>
      </c>
      <c r="P244" s="60">
        <v>4</v>
      </c>
      <c r="Q244" s="60">
        <v>4</v>
      </c>
      <c r="R244" s="60">
        <v>4</v>
      </c>
      <c r="S244" s="60">
        <v>480</v>
      </c>
      <c r="T244" s="60" t="s">
        <v>835</v>
      </c>
      <c r="U244" s="60">
        <v>480</v>
      </c>
      <c r="V244" s="60" t="s">
        <v>837</v>
      </c>
      <c r="W244" s="60" t="s">
        <v>200</v>
      </c>
      <c r="X244" s="60">
        <v>3</v>
      </c>
      <c r="Y244" s="60">
        <f>U244*挂机玩法规划!$O$4*VLOOKUP(E244,挂机玩法规划!$G$2:$I$17,3,FALSE)</f>
        <v>2880</v>
      </c>
      <c r="Z244" s="17">
        <f t="shared" si="386"/>
        <v>0.75</v>
      </c>
      <c r="AA244" s="17">
        <f t="shared" si="387"/>
        <v>720</v>
      </c>
      <c r="AB244" s="17">
        <f>(VLOOKUP(V244,物品id!A:E,5,FALSE)*挂机玩法填表!Z244+VLOOKUP(挂机玩法填表!W244,物品id!A:E,5,FALSE)*挂机玩法填表!AA244)/(U244/60)</f>
        <v>13.23</v>
      </c>
      <c r="AD244" s="60" t="str">
        <f>IF(G244="","",VLOOKUP(G244,物品id!$A:$B,2,FALSE)&amp;",")</f>
        <v>3331,</v>
      </c>
      <c r="AE244" s="60" t="str">
        <f>IF(H244="","",VLOOKUP(H244,物品id!$A:$B,2,FALSE)&amp;",")</f>
        <v>3321,</v>
      </c>
      <c r="AF244" s="60" t="str">
        <f>IF(I244="","",VLOOKUP(I244,物品id!$A:$B,2,FALSE)&amp;",")</f>
        <v>3341,</v>
      </c>
      <c r="AG244" s="60" t="str">
        <f t="shared" si="375"/>
        <v>3331,3321,3341,</v>
      </c>
      <c r="AH244" s="60" t="str">
        <f t="shared" si="376"/>
        <v>[3331,3321,3341]</v>
      </c>
      <c r="AI244" s="17" t="str">
        <f t="shared" si="388"/>
        <v>4,</v>
      </c>
      <c r="AJ244" s="17" t="str">
        <f t="shared" si="389"/>
        <v>4,</v>
      </c>
      <c r="AK244" s="17" t="str">
        <f t="shared" si="390"/>
        <v>4,</v>
      </c>
      <c r="AL244" s="60" t="str">
        <f t="shared" si="377"/>
        <v>4,4,4,</v>
      </c>
      <c r="AM244" s="60" t="str">
        <f t="shared" si="378"/>
        <v>[4,4,4]</v>
      </c>
      <c r="AN244" s="60" t="str">
        <f>VLOOKUP(T244,物品id!$A:$B,2,FALSE)&amp;","</f>
        <v>102,</v>
      </c>
      <c r="AO244" s="17" t="str">
        <f t="shared" si="391"/>
        <v>[102]</v>
      </c>
      <c r="AP244" s="60" t="str">
        <f t="shared" si="383"/>
        <v>480,</v>
      </c>
      <c r="AQ244" s="17" t="str">
        <f t="shared" si="392"/>
        <v>[480]</v>
      </c>
      <c r="AR244" s="60" t="str">
        <f>IF(V244="","",VLOOKUP(V244,物品id!$A:$B,2,FALSE)&amp;",")</f>
        <v>20033,</v>
      </c>
      <c r="AS244" s="60" t="str">
        <f>IF(W244="","",VLOOKUP(W244,物品id!$A:$B,2,FALSE)&amp;",")</f>
        <v>102,</v>
      </c>
      <c r="AT244" s="60" t="str">
        <f t="shared" si="379"/>
        <v>20033,102,</v>
      </c>
      <c r="AU244" s="60" t="str">
        <f t="shared" si="380"/>
        <v>[20033,102]</v>
      </c>
      <c r="AV244" s="60" t="str">
        <f t="shared" si="384"/>
        <v>3,</v>
      </c>
      <c r="AW244" s="60" t="str">
        <f t="shared" si="385"/>
        <v>2880,</v>
      </c>
      <c r="AX244" s="60" t="str">
        <f t="shared" si="381"/>
        <v>3,2880,</v>
      </c>
      <c r="AY244" s="60" t="str">
        <f t="shared" si="382"/>
        <v>[3,2880]</v>
      </c>
    </row>
    <row r="245" spans="1:51" s="60" customFormat="1" x14ac:dyDescent="0.2">
      <c r="A245" s="60">
        <v>6</v>
      </c>
      <c r="B245" s="60" t="s">
        <v>1132</v>
      </c>
      <c r="C245" s="60">
        <v>64</v>
      </c>
      <c r="D245" s="34" t="s">
        <v>1169</v>
      </c>
      <c r="E245" s="60" t="s">
        <v>1017</v>
      </c>
      <c r="F245" s="60">
        <v>3</v>
      </c>
      <c r="G245" s="60" t="s">
        <v>808</v>
      </c>
      <c r="H245" s="60" t="s">
        <v>807</v>
      </c>
      <c r="I245" s="60" t="s">
        <v>809</v>
      </c>
      <c r="J245" s="17">
        <v>0</v>
      </c>
      <c r="K245" s="17">
        <v>0</v>
      </c>
      <c r="L245" s="17">
        <v>0</v>
      </c>
      <c r="M245" s="35">
        <f>(IF(G245="",挂机玩法规划!$L$2,VLOOKUP(G245,物品id!A:D,4,FALSE)*IF(J245=0,1,4))*IF(J245=0,1,J245)+IF(H245="",挂机玩法规划!$L$2,VLOOKUP(H245,物品id!A:D,4,FALSE)*IF(K245=0,1,4))*IF(K245=0,1,K245)+IF(I245="",挂机玩法规划!$L$2,VLOOKUP(I245,物品id!A:D,4,FALSE)*IF(L245=0,1,4))*IF(L245=0,1,L245))/O245</f>
        <v>0.25</v>
      </c>
      <c r="N245" s="44">
        <f>IF(G245="",挂机玩法规划!$L$2,VLOOKUP(G245,物品id!A:D,4,FALSE)*4)+IF(H245="",挂机玩法规划!$L$2,VLOOKUP(H245,物品id!A:D,4,FALSE)*4)+IF(I245="",挂机玩法规划!$L$2,VLOOKUP(I245,物品id!A:D,4,FALSE)*4)</f>
        <v>360</v>
      </c>
      <c r="O245" s="61">
        <v>360</v>
      </c>
      <c r="P245" s="60">
        <v>4</v>
      </c>
      <c r="Q245" s="60">
        <v>4</v>
      </c>
      <c r="R245" s="60">
        <v>4</v>
      </c>
      <c r="S245" s="60">
        <v>720</v>
      </c>
      <c r="T245" s="60" t="s">
        <v>835</v>
      </c>
      <c r="U245" s="60">
        <v>720</v>
      </c>
      <c r="V245" s="60" t="s">
        <v>837</v>
      </c>
      <c r="W245" s="60" t="s">
        <v>200</v>
      </c>
      <c r="X245" s="60">
        <v>4</v>
      </c>
      <c r="Y245" s="60">
        <f>U245*挂机玩法规划!$O$4*VLOOKUP(E245,挂机玩法规划!$G$2:$I$17,3,FALSE)</f>
        <v>4320</v>
      </c>
      <c r="Z245" s="17">
        <f t="shared" si="386"/>
        <v>1</v>
      </c>
      <c r="AA245" s="17">
        <f t="shared" si="387"/>
        <v>1080</v>
      </c>
      <c r="AB245" s="17">
        <f>(VLOOKUP(V245,物品id!A:E,5,FALSE)*挂机玩法填表!Z245+VLOOKUP(挂机玩法填表!W245,物品id!A:E,5,FALSE)*挂机玩法填表!AA245)/(U245/60)</f>
        <v>11.979999999999999</v>
      </c>
      <c r="AD245" s="60" t="str">
        <f>IF(G245="","",VLOOKUP(G245,物品id!$A:$B,2,FALSE)&amp;",")</f>
        <v>1331,</v>
      </c>
      <c r="AE245" s="60" t="str">
        <f>IF(H245="","",VLOOKUP(H245,物品id!$A:$B,2,FALSE)&amp;",")</f>
        <v>1321,</v>
      </c>
      <c r="AF245" s="60" t="str">
        <f>IF(I245="","",VLOOKUP(I245,物品id!$A:$B,2,FALSE)&amp;",")</f>
        <v>1341,</v>
      </c>
      <c r="AG245" s="60" t="str">
        <f t="shared" si="375"/>
        <v>1331,1321,1341,</v>
      </c>
      <c r="AH245" s="60" t="str">
        <f t="shared" si="376"/>
        <v>[1331,1321,1341]</v>
      </c>
      <c r="AI245" s="17" t="str">
        <f t="shared" si="388"/>
        <v>4,</v>
      </c>
      <c r="AJ245" s="17" t="str">
        <f t="shared" si="389"/>
        <v>4,</v>
      </c>
      <c r="AK245" s="17" t="str">
        <f t="shared" si="390"/>
        <v>4,</v>
      </c>
      <c r="AL245" s="60" t="str">
        <f t="shared" si="377"/>
        <v>4,4,4,</v>
      </c>
      <c r="AM245" s="60" t="str">
        <f t="shared" si="378"/>
        <v>[4,4,4]</v>
      </c>
      <c r="AN245" s="60" t="str">
        <f>VLOOKUP(T245,物品id!$A:$B,2,FALSE)&amp;","</f>
        <v>102,</v>
      </c>
      <c r="AO245" s="17" t="str">
        <f t="shared" si="391"/>
        <v>[102]</v>
      </c>
      <c r="AP245" s="60" t="str">
        <f t="shared" si="383"/>
        <v>720,</v>
      </c>
      <c r="AQ245" s="17" t="str">
        <f t="shared" si="392"/>
        <v>[720]</v>
      </c>
      <c r="AR245" s="60" t="str">
        <f>IF(V245="","",VLOOKUP(V245,物品id!$A:$B,2,FALSE)&amp;",")</f>
        <v>20033,</v>
      </c>
      <c r="AS245" s="60" t="str">
        <f>IF(W245="","",VLOOKUP(W245,物品id!$A:$B,2,FALSE)&amp;",")</f>
        <v>102,</v>
      </c>
      <c r="AT245" s="60" t="str">
        <f t="shared" si="379"/>
        <v>20033,102,</v>
      </c>
      <c r="AU245" s="60" t="str">
        <f t="shared" si="380"/>
        <v>[20033,102]</v>
      </c>
      <c r="AV245" s="60" t="str">
        <f t="shared" si="384"/>
        <v>4,</v>
      </c>
      <c r="AW245" s="60" t="str">
        <f t="shared" si="385"/>
        <v>4320,</v>
      </c>
      <c r="AX245" s="60" t="str">
        <f t="shared" si="381"/>
        <v>4,4320,</v>
      </c>
      <c r="AY245" s="60" t="str">
        <f t="shared" si="382"/>
        <v>[4,4320]</v>
      </c>
    </row>
    <row r="246" spans="1:51" s="60" customFormat="1" x14ac:dyDescent="0.2">
      <c r="A246" s="60">
        <v>6</v>
      </c>
      <c r="B246" s="60" t="s">
        <v>1132</v>
      </c>
      <c r="C246" s="60">
        <v>64</v>
      </c>
      <c r="D246" s="34" t="s">
        <v>1169</v>
      </c>
      <c r="E246" s="60" t="s">
        <v>1017</v>
      </c>
      <c r="F246" s="60">
        <v>3</v>
      </c>
      <c r="G246" s="60" t="s">
        <v>819</v>
      </c>
      <c r="H246" s="60" t="s">
        <v>818</v>
      </c>
      <c r="I246" s="60" t="s">
        <v>221</v>
      </c>
      <c r="J246" s="17">
        <v>0</v>
      </c>
      <c r="K246" s="17">
        <v>0</v>
      </c>
      <c r="L246" s="17">
        <v>0</v>
      </c>
      <c r="M246" s="35">
        <f>(IF(G246="",挂机玩法规划!$L$2,VLOOKUP(G246,物品id!A:D,4,FALSE)*IF(J246=0,1,4))*IF(J246=0,1,J246)+IF(H246="",挂机玩法规划!$L$2,VLOOKUP(H246,物品id!A:D,4,FALSE)*IF(K246=0,1,4))*IF(K246=0,1,K246)+IF(I246="",挂机玩法规划!$L$2,VLOOKUP(I246,物品id!A:D,4,FALSE)*IF(L246=0,1,4))*IF(L246=0,1,L246))/O246</f>
        <v>0.25</v>
      </c>
      <c r="N246" s="44">
        <f>IF(G246="",挂机玩法规划!$L$2,VLOOKUP(G246,物品id!A:D,4,FALSE)*4)+IF(H246="",挂机玩法规划!$L$2,VLOOKUP(H246,物品id!A:D,4,FALSE)*4)+IF(I246="",挂机玩法规划!$L$2,VLOOKUP(I246,物品id!A:D,4,FALSE)*4)</f>
        <v>360</v>
      </c>
      <c r="O246" s="61">
        <v>360</v>
      </c>
      <c r="P246" s="60">
        <v>4</v>
      </c>
      <c r="Q246" s="60">
        <v>4</v>
      </c>
      <c r="R246" s="60">
        <v>4</v>
      </c>
      <c r="S246" s="60">
        <v>720</v>
      </c>
      <c r="T246" s="60" t="s">
        <v>835</v>
      </c>
      <c r="U246" s="60">
        <v>720</v>
      </c>
      <c r="V246" s="60" t="s">
        <v>837</v>
      </c>
      <c r="W246" s="60" t="s">
        <v>200</v>
      </c>
      <c r="X246" s="60">
        <v>4</v>
      </c>
      <c r="Y246" s="60">
        <f>U246*挂机玩法规划!$O$4*VLOOKUP(E246,挂机玩法规划!$G$2:$I$17,3,FALSE)</f>
        <v>4320</v>
      </c>
      <c r="Z246" s="17">
        <f t="shared" si="386"/>
        <v>1</v>
      </c>
      <c r="AA246" s="17">
        <f t="shared" si="387"/>
        <v>1080</v>
      </c>
      <c r="AB246" s="17">
        <f>(VLOOKUP(V246,物品id!A:E,5,FALSE)*挂机玩法填表!Z246+VLOOKUP(挂机玩法填表!W246,物品id!A:E,5,FALSE)*挂机玩法填表!AA246)/(U246/60)</f>
        <v>11.979999999999999</v>
      </c>
      <c r="AD246" s="60" t="str">
        <f>IF(G246="","",VLOOKUP(G246,物品id!$A:$B,2,FALSE)&amp;",")</f>
        <v>2331,</v>
      </c>
      <c r="AE246" s="60" t="str">
        <f>IF(H246="","",VLOOKUP(H246,物品id!$A:$B,2,FALSE)&amp;",")</f>
        <v>2321,</v>
      </c>
      <c r="AF246" s="60" t="str">
        <f>IF(I246="","",VLOOKUP(I246,物品id!$A:$B,2,FALSE)&amp;",")</f>
        <v>2341,</v>
      </c>
      <c r="AG246" s="60" t="str">
        <f t="shared" si="375"/>
        <v>2331,2321,2341,</v>
      </c>
      <c r="AH246" s="60" t="str">
        <f t="shared" si="376"/>
        <v>[2331,2321,2341]</v>
      </c>
      <c r="AI246" s="17" t="str">
        <f t="shared" si="388"/>
        <v>4,</v>
      </c>
      <c r="AJ246" s="17" t="str">
        <f t="shared" si="389"/>
        <v>4,</v>
      </c>
      <c r="AK246" s="17" t="str">
        <f t="shared" si="390"/>
        <v>4,</v>
      </c>
      <c r="AL246" s="60" t="str">
        <f t="shared" si="377"/>
        <v>4,4,4,</v>
      </c>
      <c r="AM246" s="60" t="str">
        <f t="shared" si="378"/>
        <v>[4,4,4]</v>
      </c>
      <c r="AN246" s="60" t="str">
        <f>VLOOKUP(T246,物品id!$A:$B,2,FALSE)&amp;","</f>
        <v>102,</v>
      </c>
      <c r="AO246" s="17" t="str">
        <f t="shared" si="391"/>
        <v>[102]</v>
      </c>
      <c r="AP246" s="60" t="str">
        <f t="shared" si="383"/>
        <v>720,</v>
      </c>
      <c r="AQ246" s="17" t="str">
        <f t="shared" si="392"/>
        <v>[720]</v>
      </c>
      <c r="AR246" s="60" t="str">
        <f>IF(V246="","",VLOOKUP(V246,物品id!$A:$B,2,FALSE)&amp;",")</f>
        <v>20033,</v>
      </c>
      <c r="AS246" s="60" t="str">
        <f>IF(W246="","",VLOOKUP(W246,物品id!$A:$B,2,FALSE)&amp;",")</f>
        <v>102,</v>
      </c>
      <c r="AT246" s="60" t="str">
        <f t="shared" si="379"/>
        <v>20033,102,</v>
      </c>
      <c r="AU246" s="60" t="str">
        <f t="shared" si="380"/>
        <v>[20033,102]</v>
      </c>
      <c r="AV246" s="60" t="str">
        <f t="shared" si="384"/>
        <v>4,</v>
      </c>
      <c r="AW246" s="60" t="str">
        <f t="shared" si="385"/>
        <v>4320,</v>
      </c>
      <c r="AX246" s="60" t="str">
        <f t="shared" si="381"/>
        <v>4,4320,</v>
      </c>
      <c r="AY246" s="60" t="str">
        <f t="shared" si="382"/>
        <v>[4,4320]</v>
      </c>
    </row>
    <row r="247" spans="1:51" s="60" customFormat="1" x14ac:dyDescent="0.2">
      <c r="A247" s="60">
        <v>6</v>
      </c>
      <c r="B247" s="60" t="s">
        <v>1132</v>
      </c>
      <c r="C247" s="60">
        <v>64</v>
      </c>
      <c r="D247" s="34" t="s">
        <v>1169</v>
      </c>
      <c r="E247" s="60" t="s">
        <v>1017</v>
      </c>
      <c r="F247" s="60">
        <v>3</v>
      </c>
      <c r="G247" s="60" t="s">
        <v>829</v>
      </c>
      <c r="H247" s="60" t="s">
        <v>828</v>
      </c>
      <c r="I247" s="60" t="s">
        <v>830</v>
      </c>
      <c r="J247" s="17">
        <v>0</v>
      </c>
      <c r="K247" s="17">
        <v>0</v>
      </c>
      <c r="L247" s="17">
        <v>0</v>
      </c>
      <c r="M247" s="35">
        <f>(IF(G247="",挂机玩法规划!$L$2,VLOOKUP(G247,物品id!A:D,4,FALSE)*IF(J247=0,1,4))*IF(J247=0,1,J247)+IF(H247="",挂机玩法规划!$L$2,VLOOKUP(H247,物品id!A:D,4,FALSE)*IF(K247=0,1,4))*IF(K247=0,1,K247)+IF(I247="",挂机玩法规划!$L$2,VLOOKUP(I247,物品id!A:D,4,FALSE)*IF(L247=0,1,4))*IF(L247=0,1,L247))/O247</f>
        <v>0.25</v>
      </c>
      <c r="N247" s="44">
        <f>IF(G247="",挂机玩法规划!$L$2,VLOOKUP(G247,物品id!A:D,4,FALSE)*4)+IF(H247="",挂机玩法规划!$L$2,VLOOKUP(H247,物品id!A:D,4,FALSE)*4)+IF(I247="",挂机玩法规划!$L$2,VLOOKUP(I247,物品id!A:D,4,FALSE)*4)</f>
        <v>360</v>
      </c>
      <c r="O247" s="61">
        <v>360</v>
      </c>
      <c r="P247" s="60">
        <v>4</v>
      </c>
      <c r="Q247" s="60">
        <v>4</v>
      </c>
      <c r="R247" s="60">
        <v>4</v>
      </c>
      <c r="S247" s="60">
        <v>720</v>
      </c>
      <c r="T247" s="60" t="s">
        <v>835</v>
      </c>
      <c r="U247" s="60">
        <v>720</v>
      </c>
      <c r="V247" s="60" t="s">
        <v>837</v>
      </c>
      <c r="W247" s="60" t="s">
        <v>200</v>
      </c>
      <c r="X247" s="60">
        <v>4</v>
      </c>
      <c r="Y247" s="60">
        <f>U247*挂机玩法规划!$O$4*VLOOKUP(E247,挂机玩法规划!$G$2:$I$17,3,FALSE)</f>
        <v>4320</v>
      </c>
      <c r="Z247" s="17">
        <f t="shared" si="386"/>
        <v>1</v>
      </c>
      <c r="AA247" s="17">
        <f t="shared" si="387"/>
        <v>1080</v>
      </c>
      <c r="AB247" s="17">
        <f>(VLOOKUP(V247,物品id!A:E,5,FALSE)*挂机玩法填表!Z247+VLOOKUP(挂机玩法填表!W247,物品id!A:E,5,FALSE)*挂机玩法填表!AA247)/(U247/60)</f>
        <v>11.979999999999999</v>
      </c>
      <c r="AD247" s="60" t="str">
        <f>IF(G247="","",VLOOKUP(G247,物品id!$A:$B,2,FALSE)&amp;",")</f>
        <v>3331,</v>
      </c>
      <c r="AE247" s="60" t="str">
        <f>IF(H247="","",VLOOKUP(H247,物品id!$A:$B,2,FALSE)&amp;",")</f>
        <v>3321,</v>
      </c>
      <c r="AF247" s="60" t="str">
        <f>IF(I247="","",VLOOKUP(I247,物品id!$A:$B,2,FALSE)&amp;",")</f>
        <v>3341,</v>
      </c>
      <c r="AG247" s="60" t="str">
        <f t="shared" si="375"/>
        <v>3331,3321,3341,</v>
      </c>
      <c r="AH247" s="60" t="str">
        <f t="shared" si="376"/>
        <v>[3331,3321,3341]</v>
      </c>
      <c r="AI247" s="17" t="str">
        <f t="shared" si="388"/>
        <v>4,</v>
      </c>
      <c r="AJ247" s="17" t="str">
        <f t="shared" si="389"/>
        <v>4,</v>
      </c>
      <c r="AK247" s="17" t="str">
        <f t="shared" si="390"/>
        <v>4,</v>
      </c>
      <c r="AL247" s="60" t="str">
        <f t="shared" si="377"/>
        <v>4,4,4,</v>
      </c>
      <c r="AM247" s="60" t="str">
        <f t="shared" si="378"/>
        <v>[4,4,4]</v>
      </c>
      <c r="AN247" s="60" t="str">
        <f>VLOOKUP(T247,物品id!$A:$B,2,FALSE)&amp;","</f>
        <v>102,</v>
      </c>
      <c r="AO247" s="17" t="str">
        <f t="shared" si="391"/>
        <v>[102]</v>
      </c>
      <c r="AP247" s="60" t="str">
        <f t="shared" si="383"/>
        <v>720,</v>
      </c>
      <c r="AQ247" s="17" t="str">
        <f t="shared" si="392"/>
        <v>[720]</v>
      </c>
      <c r="AR247" s="60" t="str">
        <f>IF(V247="","",VLOOKUP(V247,物品id!$A:$B,2,FALSE)&amp;",")</f>
        <v>20033,</v>
      </c>
      <c r="AS247" s="60" t="str">
        <f>IF(W247="","",VLOOKUP(W247,物品id!$A:$B,2,FALSE)&amp;",")</f>
        <v>102,</v>
      </c>
      <c r="AT247" s="60" t="str">
        <f t="shared" si="379"/>
        <v>20033,102,</v>
      </c>
      <c r="AU247" s="60" t="str">
        <f t="shared" si="380"/>
        <v>[20033,102]</v>
      </c>
      <c r="AV247" s="60" t="str">
        <f t="shared" si="384"/>
        <v>4,</v>
      </c>
      <c r="AW247" s="60" t="str">
        <f t="shared" si="385"/>
        <v>4320,</v>
      </c>
      <c r="AX247" s="60" t="str">
        <f t="shared" si="381"/>
        <v>4,4320,</v>
      </c>
      <c r="AY247" s="60" t="str">
        <f t="shared" si="382"/>
        <v>[4,4320]</v>
      </c>
    </row>
    <row r="248" spans="1:51" x14ac:dyDescent="0.2">
      <c r="AB248">
        <f>AVERAGE(AB2:AB247)</f>
        <v>25.989352644307857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27"/>
  <sheetViews>
    <sheetView zoomScale="120" zoomScaleNormal="120" workbookViewId="0">
      <selection activeCell="H2" sqref="H2:J8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897</v>
      </c>
      <c r="B1" s="1" t="s">
        <v>898</v>
      </c>
      <c r="C1" s="1" t="s">
        <v>899</v>
      </c>
      <c r="D1" s="1" t="s">
        <v>900</v>
      </c>
      <c r="E1" s="1" t="s">
        <v>901</v>
      </c>
      <c r="F1" s="1" t="s">
        <v>902</v>
      </c>
      <c r="G1" s="1" t="s">
        <v>903</v>
      </c>
      <c r="H1" s="1" t="s">
        <v>904</v>
      </c>
      <c r="I1" s="1" t="s">
        <v>905</v>
      </c>
    </row>
    <row r="2" spans="1:10" x14ac:dyDescent="0.2">
      <c r="A2" t="s">
        <v>134</v>
      </c>
      <c r="B2" t="s">
        <v>135</v>
      </c>
      <c r="C2" s="26">
        <v>0</v>
      </c>
      <c r="D2" s="26" t="str">
        <f t="shared" ref="D2:D76" si="0">A2&amp;"_"&amp;B2</f>
        <v>T1_低</v>
      </c>
      <c r="E2" s="26" t="str">
        <f t="shared" ref="E2:E76" si="1">A2&amp;"_"&amp;B2&amp;"_"&amp;C2</f>
        <v>T1_低_0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8" si="3">IF(C4=1,G4,G4+I3)</f>
        <v>985</v>
      </c>
      <c r="J4">
        <f t="shared" ref="J4:J76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82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3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269000</v>
      </c>
      <c r="H68">
        <f t="shared" si="5"/>
        <v>760</v>
      </c>
      <c r="I68">
        <f t="shared" si="3"/>
        <v>1880100</v>
      </c>
      <c r="J68">
        <f t="shared" si="4"/>
        <v>12</v>
      </c>
    </row>
    <row r="69" spans="1:10" x14ac:dyDescent="0.2">
      <c r="A69" t="s">
        <v>152</v>
      </c>
      <c r="B69" t="s">
        <v>135</v>
      </c>
      <c r="C69">
        <v>13</v>
      </c>
      <c r="D69" t="str">
        <f t="shared" si="0"/>
        <v>T4_低</v>
      </c>
      <c r="E69" t="str">
        <f t="shared" si="1"/>
        <v>T4_低_13</v>
      </c>
      <c r="F69">
        <v>80</v>
      </c>
      <c r="G69">
        <v>269000</v>
      </c>
      <c r="H69">
        <f t="shared" si="5"/>
        <v>840</v>
      </c>
      <c r="I69">
        <f t="shared" ref="I69:I75" si="6">IF(C69=1,G69,G69+I68)</f>
        <v>2149100</v>
      </c>
      <c r="J69">
        <f t="shared" ref="J69:J75" si="7">C69</f>
        <v>13</v>
      </c>
    </row>
    <row r="70" spans="1:10" x14ac:dyDescent="0.2">
      <c r="A70" t="s">
        <v>152</v>
      </c>
      <c r="B70" t="s">
        <v>135</v>
      </c>
      <c r="C70">
        <v>14</v>
      </c>
      <c r="D70" t="str">
        <f t="shared" si="0"/>
        <v>T4_低</v>
      </c>
      <c r="E70" t="str">
        <f t="shared" si="1"/>
        <v>T4_低_14</v>
      </c>
      <c r="F70">
        <v>80</v>
      </c>
      <c r="G70">
        <v>269000</v>
      </c>
      <c r="H70">
        <f t="shared" si="5"/>
        <v>920</v>
      </c>
      <c r="I70">
        <f t="shared" si="6"/>
        <v>2418100</v>
      </c>
      <c r="J70">
        <f t="shared" si="7"/>
        <v>14</v>
      </c>
    </row>
    <row r="71" spans="1:10" x14ac:dyDescent="0.2">
      <c r="A71" t="s">
        <v>152</v>
      </c>
      <c r="B71" t="s">
        <v>135</v>
      </c>
      <c r="C71">
        <v>15</v>
      </c>
      <c r="D71" t="str">
        <f t="shared" si="0"/>
        <v>T4_低</v>
      </c>
      <c r="E71" t="str">
        <f t="shared" si="1"/>
        <v>T4_低_15</v>
      </c>
      <c r="F71">
        <v>80</v>
      </c>
      <c r="G71">
        <v>269000</v>
      </c>
      <c r="H71">
        <f t="shared" si="5"/>
        <v>1000</v>
      </c>
      <c r="I71">
        <f t="shared" si="6"/>
        <v>2687100</v>
      </c>
      <c r="J71">
        <f t="shared" si="7"/>
        <v>15</v>
      </c>
    </row>
    <row r="72" spans="1:10" x14ac:dyDescent="0.2">
      <c r="A72" t="s">
        <v>152</v>
      </c>
      <c r="B72" t="s">
        <v>135</v>
      </c>
      <c r="C72">
        <v>16</v>
      </c>
      <c r="D72" t="str">
        <f t="shared" si="0"/>
        <v>T4_低</v>
      </c>
      <c r="E72" t="str">
        <f t="shared" si="1"/>
        <v>T4_低_16</v>
      </c>
      <c r="F72">
        <v>80</v>
      </c>
      <c r="G72">
        <v>269000</v>
      </c>
      <c r="H72">
        <f t="shared" si="5"/>
        <v>1080</v>
      </c>
      <c r="I72">
        <f t="shared" si="6"/>
        <v>2956100</v>
      </c>
      <c r="J72">
        <f t="shared" si="7"/>
        <v>16</v>
      </c>
    </row>
    <row r="73" spans="1:10" x14ac:dyDescent="0.2">
      <c r="A73" t="s">
        <v>152</v>
      </c>
      <c r="B73" t="s">
        <v>135</v>
      </c>
      <c r="C73">
        <v>17</v>
      </c>
      <c r="D73" t="str">
        <f t="shared" si="0"/>
        <v>T4_低</v>
      </c>
      <c r="E73" t="str">
        <f t="shared" si="1"/>
        <v>T4_低_17</v>
      </c>
      <c r="F73">
        <v>80</v>
      </c>
      <c r="G73">
        <v>269000</v>
      </c>
      <c r="H73">
        <f t="shared" si="5"/>
        <v>1160</v>
      </c>
      <c r="I73">
        <f t="shared" si="6"/>
        <v>3225100</v>
      </c>
      <c r="J73">
        <f t="shared" si="7"/>
        <v>17</v>
      </c>
    </row>
    <row r="74" spans="1:10" x14ac:dyDescent="0.2">
      <c r="A74" t="s">
        <v>152</v>
      </c>
      <c r="B74" t="s">
        <v>135</v>
      </c>
      <c r="C74">
        <v>18</v>
      </c>
      <c r="D74" t="str">
        <f t="shared" si="0"/>
        <v>T4_低</v>
      </c>
      <c r="E74" t="str">
        <f t="shared" si="1"/>
        <v>T4_低_18</v>
      </c>
      <c r="F74">
        <v>80</v>
      </c>
      <c r="G74">
        <v>269000</v>
      </c>
      <c r="H74">
        <f t="shared" si="5"/>
        <v>1240</v>
      </c>
      <c r="I74">
        <f t="shared" si="6"/>
        <v>3494100</v>
      </c>
      <c r="J74">
        <f t="shared" si="7"/>
        <v>18</v>
      </c>
    </row>
    <row r="75" spans="1:10" x14ac:dyDescent="0.2">
      <c r="A75" t="s">
        <v>152</v>
      </c>
      <c r="B75" t="s">
        <v>135</v>
      </c>
      <c r="C75">
        <v>19</v>
      </c>
      <c r="D75" t="str">
        <f t="shared" si="0"/>
        <v>T4_低</v>
      </c>
      <c r="E75" t="str">
        <f t="shared" si="1"/>
        <v>T4_低_19</v>
      </c>
      <c r="F75">
        <v>80</v>
      </c>
      <c r="G75">
        <v>269000</v>
      </c>
      <c r="H75">
        <f t="shared" si="5"/>
        <v>1320</v>
      </c>
      <c r="I75">
        <f t="shared" si="6"/>
        <v>3763100</v>
      </c>
      <c r="J75">
        <f t="shared" si="7"/>
        <v>19</v>
      </c>
    </row>
    <row r="76" spans="1:10" x14ac:dyDescent="0.2">
      <c r="A76" t="s">
        <v>152</v>
      </c>
      <c r="B76" t="s">
        <v>141</v>
      </c>
      <c r="C76">
        <v>1</v>
      </c>
      <c r="D76" t="str">
        <f t="shared" si="0"/>
        <v>T4_中</v>
      </c>
      <c r="E76" t="str">
        <f t="shared" si="1"/>
        <v>T4_中_1</v>
      </c>
      <c r="F76">
        <v>30</v>
      </c>
      <c r="G76">
        <v>39000</v>
      </c>
      <c r="H76">
        <f>IF(C76=1,F76,F76+H68)</f>
        <v>30</v>
      </c>
      <c r="I76">
        <f>IF(C76=1,G76,G76+I68)</f>
        <v>39000</v>
      </c>
      <c r="J76">
        <f t="shared" si="4"/>
        <v>1</v>
      </c>
    </row>
    <row r="77" spans="1:10" x14ac:dyDescent="0.2">
      <c r="A77" t="s">
        <v>152</v>
      </c>
      <c r="B77" t="s">
        <v>141</v>
      </c>
      <c r="C77">
        <v>2</v>
      </c>
      <c r="D77" t="str">
        <f t="shared" ref="D77:D127" si="8">A77&amp;"_"&amp;B77</f>
        <v>T4_中</v>
      </c>
      <c r="E77" t="str">
        <f t="shared" ref="E77:E127" si="9">A77&amp;"_"&amp;B77&amp;"_"&amp;C77</f>
        <v>T4_中_2</v>
      </c>
      <c r="F77">
        <v>30</v>
      </c>
      <c r="G77">
        <v>77900</v>
      </c>
      <c r="H77">
        <f t="shared" si="5"/>
        <v>60</v>
      </c>
      <c r="I77">
        <f t="shared" ref="I77:I127" si="10">IF(C77=1,G77,G77+I76)</f>
        <v>116900</v>
      </c>
      <c r="J77">
        <f t="shared" ref="J77:J127" si="11">C77</f>
        <v>2</v>
      </c>
    </row>
    <row r="78" spans="1:10" x14ac:dyDescent="0.2">
      <c r="A78" t="s">
        <v>152</v>
      </c>
      <c r="B78" t="s">
        <v>141</v>
      </c>
      <c r="C78">
        <v>3</v>
      </c>
      <c r="D78" t="str">
        <f t="shared" si="8"/>
        <v>T4_中</v>
      </c>
      <c r="E78" t="str">
        <f t="shared" si="9"/>
        <v>T4_中_3</v>
      </c>
      <c r="F78">
        <v>40</v>
      </c>
      <c r="G78">
        <v>116900</v>
      </c>
      <c r="H78">
        <f t="shared" si="5"/>
        <v>100</v>
      </c>
      <c r="I78">
        <f t="shared" si="10"/>
        <v>233800</v>
      </c>
      <c r="J78">
        <f t="shared" si="11"/>
        <v>3</v>
      </c>
    </row>
    <row r="79" spans="1:10" x14ac:dyDescent="0.2">
      <c r="A79" t="s">
        <v>152</v>
      </c>
      <c r="B79" t="s">
        <v>141</v>
      </c>
      <c r="C79">
        <v>4</v>
      </c>
      <c r="D79" t="str">
        <f t="shared" si="8"/>
        <v>T4_中</v>
      </c>
      <c r="E79" t="str">
        <f t="shared" si="9"/>
        <v>T4_中_4</v>
      </c>
      <c r="F79">
        <v>50</v>
      </c>
      <c r="G79">
        <v>158000</v>
      </c>
      <c r="H79">
        <f t="shared" si="5"/>
        <v>150</v>
      </c>
      <c r="I79">
        <f t="shared" si="10"/>
        <v>391800</v>
      </c>
      <c r="J79">
        <f t="shared" si="11"/>
        <v>4</v>
      </c>
    </row>
    <row r="80" spans="1:10" x14ac:dyDescent="0.2">
      <c r="A80" t="s">
        <v>152</v>
      </c>
      <c r="B80" t="s">
        <v>141</v>
      </c>
      <c r="C80">
        <v>5</v>
      </c>
      <c r="D80" t="str">
        <f t="shared" si="8"/>
        <v>T4_中</v>
      </c>
      <c r="E80" t="str">
        <f t="shared" si="9"/>
        <v>T4_中_5</v>
      </c>
      <c r="F80">
        <v>50</v>
      </c>
      <c r="G80">
        <v>197000</v>
      </c>
      <c r="H80">
        <f t="shared" si="5"/>
        <v>200</v>
      </c>
      <c r="I80">
        <f t="shared" si="10"/>
        <v>588800</v>
      </c>
      <c r="J80">
        <f t="shared" si="11"/>
        <v>5</v>
      </c>
    </row>
    <row r="81" spans="1:10" x14ac:dyDescent="0.2">
      <c r="A81" t="s">
        <v>152</v>
      </c>
      <c r="B81" t="s">
        <v>141</v>
      </c>
      <c r="C81">
        <v>6</v>
      </c>
      <c r="D81" t="str">
        <f t="shared" si="8"/>
        <v>T4_中</v>
      </c>
      <c r="E81" t="str">
        <f t="shared" si="9"/>
        <v>T4_中_6</v>
      </c>
      <c r="F81">
        <v>80</v>
      </c>
      <c r="G81">
        <v>236000</v>
      </c>
      <c r="H81">
        <f t="shared" si="5"/>
        <v>280</v>
      </c>
      <c r="I81">
        <f t="shared" si="10"/>
        <v>824800</v>
      </c>
      <c r="J81">
        <f t="shared" si="11"/>
        <v>6</v>
      </c>
    </row>
    <row r="82" spans="1:10" x14ac:dyDescent="0.2">
      <c r="A82" t="s">
        <v>152</v>
      </c>
      <c r="B82" t="s">
        <v>141</v>
      </c>
      <c r="C82">
        <v>7</v>
      </c>
      <c r="D82" t="str">
        <f t="shared" si="8"/>
        <v>T4_中</v>
      </c>
      <c r="E82" t="str">
        <f t="shared" si="9"/>
        <v>T4_中_7</v>
      </c>
      <c r="F82">
        <v>80</v>
      </c>
      <c r="G82">
        <v>275000</v>
      </c>
      <c r="H82">
        <f t="shared" si="5"/>
        <v>360</v>
      </c>
      <c r="I82">
        <f t="shared" si="10"/>
        <v>1099800</v>
      </c>
      <c r="J82">
        <f t="shared" si="11"/>
        <v>7</v>
      </c>
    </row>
    <row r="83" spans="1:10" x14ac:dyDescent="0.2">
      <c r="A83" t="s">
        <v>152</v>
      </c>
      <c r="B83" t="s">
        <v>141</v>
      </c>
      <c r="C83">
        <v>8</v>
      </c>
      <c r="D83" t="str">
        <f t="shared" si="8"/>
        <v>T4_中</v>
      </c>
      <c r="E83" t="str">
        <f t="shared" si="9"/>
        <v>T4_中_8</v>
      </c>
      <c r="F83">
        <v>80</v>
      </c>
      <c r="G83">
        <v>314000</v>
      </c>
      <c r="H83">
        <f t="shared" ref="H83:H127" si="12">IF(C83=1,F83,F83+H82)</f>
        <v>440</v>
      </c>
      <c r="I83">
        <f t="shared" si="10"/>
        <v>1413800</v>
      </c>
      <c r="J83">
        <f t="shared" si="11"/>
        <v>8</v>
      </c>
    </row>
    <row r="84" spans="1:10" x14ac:dyDescent="0.2">
      <c r="A84" t="s">
        <v>152</v>
      </c>
      <c r="B84" t="s">
        <v>141</v>
      </c>
      <c r="C84">
        <v>9</v>
      </c>
      <c r="D84" t="str">
        <f t="shared" si="8"/>
        <v>T4_中</v>
      </c>
      <c r="E84" t="str">
        <f t="shared" si="9"/>
        <v>T4_中_9</v>
      </c>
      <c r="F84">
        <v>80</v>
      </c>
      <c r="G84">
        <v>353000</v>
      </c>
      <c r="H84">
        <f t="shared" si="12"/>
        <v>520</v>
      </c>
      <c r="I84">
        <f t="shared" si="10"/>
        <v>1766800</v>
      </c>
      <c r="J84">
        <f t="shared" si="11"/>
        <v>9</v>
      </c>
    </row>
    <row r="85" spans="1:10" x14ac:dyDescent="0.2">
      <c r="A85" t="s">
        <v>152</v>
      </c>
      <c r="B85" t="s">
        <v>141</v>
      </c>
      <c r="C85">
        <v>10</v>
      </c>
      <c r="D85" t="str">
        <f t="shared" si="8"/>
        <v>T4_中</v>
      </c>
      <c r="E85" t="str">
        <f t="shared" si="9"/>
        <v>T4_中_10</v>
      </c>
      <c r="F85">
        <v>80</v>
      </c>
      <c r="G85">
        <v>395000</v>
      </c>
      <c r="H85">
        <f t="shared" si="12"/>
        <v>600</v>
      </c>
      <c r="I85">
        <f t="shared" si="10"/>
        <v>2161800</v>
      </c>
      <c r="J85">
        <f t="shared" si="11"/>
        <v>10</v>
      </c>
    </row>
    <row r="86" spans="1:10" x14ac:dyDescent="0.2">
      <c r="A86" t="s">
        <v>152</v>
      </c>
      <c r="B86" t="s">
        <v>141</v>
      </c>
      <c r="C86">
        <v>11</v>
      </c>
      <c r="D86" t="str">
        <f t="shared" si="8"/>
        <v>T4_中</v>
      </c>
      <c r="E86" t="str">
        <f t="shared" si="9"/>
        <v>T4_中_11</v>
      </c>
      <c r="F86">
        <v>80</v>
      </c>
      <c r="G86">
        <v>434000</v>
      </c>
      <c r="H86">
        <f t="shared" si="12"/>
        <v>680</v>
      </c>
      <c r="I86">
        <f t="shared" si="10"/>
        <v>2595800</v>
      </c>
      <c r="J86">
        <f t="shared" si="11"/>
        <v>11</v>
      </c>
    </row>
    <row r="87" spans="1:10" x14ac:dyDescent="0.2">
      <c r="A87" t="s">
        <v>152</v>
      </c>
      <c r="B87" t="s">
        <v>141</v>
      </c>
      <c r="C87">
        <v>12</v>
      </c>
      <c r="D87" t="str">
        <f t="shared" si="8"/>
        <v>T4_中</v>
      </c>
      <c r="E87" t="str">
        <f t="shared" si="9"/>
        <v>T4_中_12</v>
      </c>
      <c r="F87">
        <v>80</v>
      </c>
      <c r="G87">
        <v>434000</v>
      </c>
      <c r="H87">
        <f t="shared" si="12"/>
        <v>760</v>
      </c>
      <c r="I87">
        <f t="shared" si="10"/>
        <v>3029800</v>
      </c>
      <c r="J87">
        <f t="shared" si="11"/>
        <v>12</v>
      </c>
    </row>
    <row r="88" spans="1:10" x14ac:dyDescent="0.2">
      <c r="A88" t="s">
        <v>152</v>
      </c>
      <c r="B88" t="s">
        <v>141</v>
      </c>
      <c r="C88">
        <v>13</v>
      </c>
      <c r="D88" t="str">
        <f t="shared" ref="D88:D94" si="13">A88&amp;"_"&amp;B88</f>
        <v>T4_中</v>
      </c>
      <c r="E88" t="str">
        <f t="shared" ref="E88:E94" si="14">A88&amp;"_"&amp;B88&amp;"_"&amp;C88</f>
        <v>T4_中_13</v>
      </c>
      <c r="F88">
        <v>80</v>
      </c>
      <c r="G88">
        <v>434000</v>
      </c>
      <c r="H88">
        <f t="shared" si="12"/>
        <v>840</v>
      </c>
      <c r="I88">
        <f t="shared" ref="I88:I94" si="15">IF(C88=1,G88,G88+I87)</f>
        <v>3463800</v>
      </c>
      <c r="J88">
        <f t="shared" ref="J88:J94" si="16">C88</f>
        <v>13</v>
      </c>
    </row>
    <row r="89" spans="1:10" x14ac:dyDescent="0.2">
      <c r="A89" t="s">
        <v>152</v>
      </c>
      <c r="B89" t="s">
        <v>141</v>
      </c>
      <c r="C89">
        <v>14</v>
      </c>
      <c r="D89" t="str">
        <f t="shared" si="13"/>
        <v>T4_中</v>
      </c>
      <c r="E89" t="str">
        <f t="shared" si="14"/>
        <v>T4_中_14</v>
      </c>
      <c r="F89">
        <v>80</v>
      </c>
      <c r="G89">
        <v>434000</v>
      </c>
      <c r="H89">
        <f t="shared" si="12"/>
        <v>920</v>
      </c>
      <c r="I89">
        <f t="shared" si="15"/>
        <v>3897800</v>
      </c>
      <c r="J89">
        <f t="shared" si="16"/>
        <v>14</v>
      </c>
    </row>
    <row r="90" spans="1:10" x14ac:dyDescent="0.2">
      <c r="A90" t="s">
        <v>152</v>
      </c>
      <c r="B90" t="s">
        <v>141</v>
      </c>
      <c r="C90">
        <v>15</v>
      </c>
      <c r="D90" t="str">
        <f t="shared" si="13"/>
        <v>T4_中</v>
      </c>
      <c r="E90" t="str">
        <f t="shared" si="14"/>
        <v>T4_中_15</v>
      </c>
      <c r="F90">
        <v>80</v>
      </c>
      <c r="G90">
        <v>434000</v>
      </c>
      <c r="H90">
        <f t="shared" si="12"/>
        <v>1000</v>
      </c>
      <c r="I90">
        <f t="shared" si="15"/>
        <v>4331800</v>
      </c>
      <c r="J90">
        <f t="shared" si="16"/>
        <v>15</v>
      </c>
    </row>
    <row r="91" spans="1:10" x14ac:dyDescent="0.2">
      <c r="A91" t="s">
        <v>152</v>
      </c>
      <c r="B91" t="s">
        <v>141</v>
      </c>
      <c r="C91">
        <v>16</v>
      </c>
      <c r="D91" t="str">
        <f t="shared" si="13"/>
        <v>T4_中</v>
      </c>
      <c r="E91" t="str">
        <f t="shared" si="14"/>
        <v>T4_中_16</v>
      </c>
      <c r="F91">
        <v>80</v>
      </c>
      <c r="G91">
        <v>434000</v>
      </c>
      <c r="H91">
        <f t="shared" si="12"/>
        <v>1080</v>
      </c>
      <c r="I91">
        <f t="shared" si="15"/>
        <v>4765800</v>
      </c>
      <c r="J91">
        <f t="shared" si="16"/>
        <v>16</v>
      </c>
    </row>
    <row r="92" spans="1:10" x14ac:dyDescent="0.2">
      <c r="A92" t="s">
        <v>152</v>
      </c>
      <c r="B92" t="s">
        <v>141</v>
      </c>
      <c r="C92">
        <v>17</v>
      </c>
      <c r="D92" t="str">
        <f t="shared" si="13"/>
        <v>T4_中</v>
      </c>
      <c r="E92" t="str">
        <f t="shared" si="14"/>
        <v>T4_中_17</v>
      </c>
      <c r="F92">
        <v>80</v>
      </c>
      <c r="G92">
        <v>434000</v>
      </c>
      <c r="H92">
        <f t="shared" si="12"/>
        <v>1160</v>
      </c>
      <c r="I92">
        <f t="shared" si="15"/>
        <v>5199800</v>
      </c>
      <c r="J92">
        <f t="shared" si="16"/>
        <v>17</v>
      </c>
    </row>
    <row r="93" spans="1:10" x14ac:dyDescent="0.2">
      <c r="A93" t="s">
        <v>152</v>
      </c>
      <c r="B93" t="s">
        <v>141</v>
      </c>
      <c r="C93">
        <v>18</v>
      </c>
      <c r="D93" t="str">
        <f t="shared" si="13"/>
        <v>T4_中</v>
      </c>
      <c r="E93" t="str">
        <f t="shared" si="14"/>
        <v>T4_中_18</v>
      </c>
      <c r="F93">
        <v>80</v>
      </c>
      <c r="G93">
        <v>434000</v>
      </c>
      <c r="H93">
        <f t="shared" si="12"/>
        <v>1240</v>
      </c>
      <c r="I93">
        <f t="shared" si="15"/>
        <v>5633800</v>
      </c>
      <c r="J93">
        <f t="shared" si="16"/>
        <v>18</v>
      </c>
    </row>
    <row r="94" spans="1:10" x14ac:dyDescent="0.2">
      <c r="A94" t="s">
        <v>152</v>
      </c>
      <c r="B94" t="s">
        <v>141</v>
      </c>
      <c r="C94">
        <v>19</v>
      </c>
      <c r="D94" t="str">
        <f t="shared" si="13"/>
        <v>T4_中</v>
      </c>
      <c r="E94" t="str">
        <f t="shared" si="14"/>
        <v>T4_中_19</v>
      </c>
      <c r="F94">
        <v>80</v>
      </c>
      <c r="G94">
        <v>434000</v>
      </c>
      <c r="H94">
        <f t="shared" si="12"/>
        <v>1320</v>
      </c>
      <c r="I94">
        <f t="shared" si="15"/>
        <v>6067800</v>
      </c>
      <c r="J94">
        <f t="shared" si="16"/>
        <v>19</v>
      </c>
    </row>
    <row r="95" spans="1:10" x14ac:dyDescent="0.2">
      <c r="A95" t="s">
        <v>152</v>
      </c>
      <c r="B95" t="s">
        <v>149</v>
      </c>
      <c r="C95">
        <v>1</v>
      </c>
      <c r="D95" t="str">
        <f t="shared" si="8"/>
        <v>T4_高</v>
      </c>
      <c r="E95" t="str">
        <f t="shared" si="9"/>
        <v>T4_高_1</v>
      </c>
      <c r="F95">
        <v>30</v>
      </c>
      <c r="G95">
        <v>57000</v>
      </c>
      <c r="H95">
        <f>IF(C95=1,F95,F95+H87)</f>
        <v>30</v>
      </c>
      <c r="I95">
        <f>IF(C95=1,G95,G95+I87)</f>
        <v>57000</v>
      </c>
      <c r="J95">
        <f t="shared" si="11"/>
        <v>1</v>
      </c>
    </row>
    <row r="96" spans="1:10" x14ac:dyDescent="0.2">
      <c r="A96" t="s">
        <v>152</v>
      </c>
      <c r="B96" t="s">
        <v>149</v>
      </c>
      <c r="C96">
        <v>2</v>
      </c>
      <c r="D96" t="str">
        <f t="shared" si="8"/>
        <v>T4_高</v>
      </c>
      <c r="E96" t="str">
        <f t="shared" si="9"/>
        <v>T4_高_2</v>
      </c>
      <c r="F96">
        <v>30</v>
      </c>
      <c r="G96">
        <v>114000</v>
      </c>
      <c r="H96">
        <f t="shared" si="12"/>
        <v>60</v>
      </c>
      <c r="I96">
        <f t="shared" si="10"/>
        <v>171000</v>
      </c>
      <c r="J96">
        <f t="shared" si="11"/>
        <v>2</v>
      </c>
    </row>
    <row r="97" spans="1:10" x14ac:dyDescent="0.2">
      <c r="A97" t="s">
        <v>152</v>
      </c>
      <c r="B97" t="s">
        <v>149</v>
      </c>
      <c r="C97">
        <v>3</v>
      </c>
      <c r="D97" t="str">
        <f t="shared" si="8"/>
        <v>T4_高</v>
      </c>
      <c r="E97" t="str">
        <f t="shared" si="9"/>
        <v>T4_高_3</v>
      </c>
      <c r="F97">
        <v>40</v>
      </c>
      <c r="G97">
        <v>171000</v>
      </c>
      <c r="H97">
        <f t="shared" si="12"/>
        <v>100</v>
      </c>
      <c r="I97">
        <f t="shared" si="10"/>
        <v>342000</v>
      </c>
      <c r="J97">
        <f t="shared" si="11"/>
        <v>3</v>
      </c>
    </row>
    <row r="98" spans="1:10" x14ac:dyDescent="0.2">
      <c r="A98" t="s">
        <v>152</v>
      </c>
      <c r="B98" t="s">
        <v>149</v>
      </c>
      <c r="C98">
        <v>4</v>
      </c>
      <c r="D98" t="str">
        <f t="shared" si="8"/>
        <v>T4_高</v>
      </c>
      <c r="E98" t="str">
        <f t="shared" si="9"/>
        <v>T4_高_4</v>
      </c>
      <c r="F98">
        <v>50</v>
      </c>
      <c r="G98">
        <v>231000</v>
      </c>
      <c r="H98">
        <f t="shared" si="12"/>
        <v>150</v>
      </c>
      <c r="I98">
        <f t="shared" si="10"/>
        <v>573000</v>
      </c>
      <c r="J98">
        <f t="shared" si="11"/>
        <v>4</v>
      </c>
    </row>
    <row r="99" spans="1:10" x14ac:dyDescent="0.2">
      <c r="A99" t="s">
        <v>152</v>
      </c>
      <c r="B99" t="s">
        <v>149</v>
      </c>
      <c r="C99">
        <v>5</v>
      </c>
      <c r="D99" t="str">
        <f t="shared" si="8"/>
        <v>T4_高</v>
      </c>
      <c r="E99" t="str">
        <f t="shared" si="9"/>
        <v>T4_高_5</v>
      </c>
      <c r="F99">
        <v>50</v>
      </c>
      <c r="G99">
        <v>288000</v>
      </c>
      <c r="H99">
        <f t="shared" si="12"/>
        <v>200</v>
      </c>
      <c r="I99">
        <f t="shared" si="10"/>
        <v>861000</v>
      </c>
      <c r="J99">
        <f t="shared" si="11"/>
        <v>5</v>
      </c>
    </row>
    <row r="100" spans="1:10" x14ac:dyDescent="0.2">
      <c r="A100" t="s">
        <v>152</v>
      </c>
      <c r="B100" t="s">
        <v>149</v>
      </c>
      <c r="C100">
        <v>6</v>
      </c>
      <c r="D100" t="str">
        <f t="shared" si="8"/>
        <v>T4_高</v>
      </c>
      <c r="E100" t="str">
        <f t="shared" si="9"/>
        <v>T4_高_6</v>
      </c>
      <c r="F100">
        <v>80</v>
      </c>
      <c r="G100">
        <v>345000</v>
      </c>
      <c r="H100">
        <f t="shared" si="12"/>
        <v>280</v>
      </c>
      <c r="I100">
        <f t="shared" si="10"/>
        <v>1206000</v>
      </c>
      <c r="J100">
        <f t="shared" si="11"/>
        <v>6</v>
      </c>
    </row>
    <row r="101" spans="1:10" x14ac:dyDescent="0.2">
      <c r="A101" t="s">
        <v>152</v>
      </c>
      <c r="B101" t="s">
        <v>149</v>
      </c>
      <c r="C101">
        <v>7</v>
      </c>
      <c r="D101" t="str">
        <f t="shared" si="8"/>
        <v>T4_高</v>
      </c>
      <c r="E101" t="str">
        <f t="shared" si="9"/>
        <v>T4_高_7</v>
      </c>
      <c r="F101">
        <v>80</v>
      </c>
      <c r="G101">
        <v>402000</v>
      </c>
      <c r="H101">
        <f t="shared" si="12"/>
        <v>360</v>
      </c>
      <c r="I101">
        <f t="shared" si="10"/>
        <v>1608000</v>
      </c>
      <c r="J101">
        <f t="shared" si="11"/>
        <v>7</v>
      </c>
    </row>
    <row r="102" spans="1:10" x14ac:dyDescent="0.2">
      <c r="A102" t="s">
        <v>152</v>
      </c>
      <c r="B102" t="s">
        <v>149</v>
      </c>
      <c r="C102">
        <v>8</v>
      </c>
      <c r="D102" t="str">
        <f t="shared" si="8"/>
        <v>T4_高</v>
      </c>
      <c r="E102" t="str">
        <f t="shared" si="9"/>
        <v>T4_高_8</v>
      </c>
      <c r="F102">
        <v>80</v>
      </c>
      <c r="G102">
        <v>459000</v>
      </c>
      <c r="H102">
        <f t="shared" si="12"/>
        <v>440</v>
      </c>
      <c r="I102">
        <f t="shared" si="10"/>
        <v>2067000</v>
      </c>
      <c r="J102">
        <f t="shared" si="11"/>
        <v>8</v>
      </c>
    </row>
    <row r="103" spans="1:10" x14ac:dyDescent="0.2">
      <c r="A103" t="s">
        <v>152</v>
      </c>
      <c r="B103" t="s">
        <v>149</v>
      </c>
      <c r="C103">
        <v>9</v>
      </c>
      <c r="D103" t="str">
        <f t="shared" si="8"/>
        <v>T4_高</v>
      </c>
      <c r="E103" t="str">
        <f t="shared" si="9"/>
        <v>T4_高_9</v>
      </c>
      <c r="F103">
        <v>80</v>
      </c>
      <c r="G103">
        <v>516000</v>
      </c>
      <c r="H103">
        <f t="shared" si="12"/>
        <v>520</v>
      </c>
      <c r="I103">
        <f t="shared" si="10"/>
        <v>2583000</v>
      </c>
      <c r="J103">
        <f t="shared" si="11"/>
        <v>9</v>
      </c>
    </row>
    <row r="104" spans="1:10" x14ac:dyDescent="0.2">
      <c r="A104" t="s">
        <v>152</v>
      </c>
      <c r="B104" t="s">
        <v>149</v>
      </c>
      <c r="C104">
        <v>10</v>
      </c>
      <c r="D104" t="str">
        <f t="shared" si="8"/>
        <v>T4_高</v>
      </c>
      <c r="E104" t="str">
        <f t="shared" si="9"/>
        <v>T4_高_10</v>
      </c>
      <c r="F104">
        <v>80</v>
      </c>
      <c r="G104">
        <v>577000</v>
      </c>
      <c r="H104">
        <f t="shared" si="12"/>
        <v>600</v>
      </c>
      <c r="I104">
        <f t="shared" si="10"/>
        <v>3160000</v>
      </c>
      <c r="J104">
        <f t="shared" si="11"/>
        <v>10</v>
      </c>
    </row>
    <row r="105" spans="1:10" x14ac:dyDescent="0.2">
      <c r="A105" t="s">
        <v>152</v>
      </c>
      <c r="B105" t="s">
        <v>149</v>
      </c>
      <c r="C105">
        <v>11</v>
      </c>
      <c r="D105" t="str">
        <f t="shared" si="8"/>
        <v>T4_高</v>
      </c>
      <c r="E105" t="str">
        <f t="shared" si="9"/>
        <v>T4_高_11</v>
      </c>
      <c r="F105">
        <v>80</v>
      </c>
      <c r="G105">
        <v>634000</v>
      </c>
      <c r="H105">
        <f t="shared" si="12"/>
        <v>680</v>
      </c>
      <c r="I105">
        <f t="shared" si="10"/>
        <v>3794000</v>
      </c>
      <c r="J105">
        <f t="shared" si="11"/>
        <v>11</v>
      </c>
    </row>
    <row r="106" spans="1:10" x14ac:dyDescent="0.2">
      <c r="A106" t="s">
        <v>152</v>
      </c>
      <c r="B106" t="s">
        <v>149</v>
      </c>
      <c r="C106">
        <v>12</v>
      </c>
      <c r="D106" t="str">
        <f t="shared" si="8"/>
        <v>T4_高</v>
      </c>
      <c r="E106" t="str">
        <f t="shared" si="9"/>
        <v>T4_高_12</v>
      </c>
      <c r="F106">
        <v>80</v>
      </c>
      <c r="G106">
        <v>634000</v>
      </c>
      <c r="H106">
        <f t="shared" si="12"/>
        <v>760</v>
      </c>
      <c r="I106">
        <f t="shared" si="10"/>
        <v>4428000</v>
      </c>
      <c r="J106">
        <f t="shared" si="11"/>
        <v>12</v>
      </c>
    </row>
    <row r="107" spans="1:10" x14ac:dyDescent="0.2">
      <c r="A107" t="s">
        <v>152</v>
      </c>
      <c r="B107" t="s">
        <v>149</v>
      </c>
      <c r="C107">
        <v>13</v>
      </c>
      <c r="D107" t="str">
        <f t="shared" ref="D107:D113" si="17">A107&amp;"_"&amp;B107</f>
        <v>T4_高</v>
      </c>
      <c r="E107" t="str">
        <f t="shared" ref="E107:E113" si="18">A107&amp;"_"&amp;B107&amp;"_"&amp;C107</f>
        <v>T4_高_13</v>
      </c>
      <c r="F107">
        <v>80</v>
      </c>
      <c r="G107">
        <v>634000</v>
      </c>
      <c r="H107">
        <f t="shared" si="12"/>
        <v>840</v>
      </c>
      <c r="I107">
        <f t="shared" ref="I107:I113" si="19">IF(C107=1,G107,G107+I106)</f>
        <v>5062000</v>
      </c>
      <c r="J107">
        <f t="shared" ref="J107:J113" si="20">C107</f>
        <v>13</v>
      </c>
    </row>
    <row r="108" spans="1:10" x14ac:dyDescent="0.2">
      <c r="A108" t="s">
        <v>152</v>
      </c>
      <c r="B108" t="s">
        <v>149</v>
      </c>
      <c r="C108">
        <v>14</v>
      </c>
      <c r="D108" t="str">
        <f t="shared" si="17"/>
        <v>T4_高</v>
      </c>
      <c r="E108" t="str">
        <f t="shared" si="18"/>
        <v>T4_高_14</v>
      </c>
      <c r="F108">
        <v>80</v>
      </c>
      <c r="G108">
        <v>634000</v>
      </c>
      <c r="H108">
        <f t="shared" si="12"/>
        <v>920</v>
      </c>
      <c r="I108">
        <f t="shared" si="19"/>
        <v>5696000</v>
      </c>
      <c r="J108">
        <f t="shared" si="20"/>
        <v>14</v>
      </c>
    </row>
    <row r="109" spans="1:10" x14ac:dyDescent="0.2">
      <c r="A109" t="s">
        <v>152</v>
      </c>
      <c r="B109" t="s">
        <v>149</v>
      </c>
      <c r="C109">
        <v>15</v>
      </c>
      <c r="D109" t="str">
        <f t="shared" si="17"/>
        <v>T4_高</v>
      </c>
      <c r="E109" t="str">
        <f t="shared" si="18"/>
        <v>T4_高_15</v>
      </c>
      <c r="F109">
        <v>80</v>
      </c>
      <c r="G109">
        <v>634000</v>
      </c>
      <c r="H109">
        <f t="shared" si="12"/>
        <v>1000</v>
      </c>
      <c r="I109">
        <f t="shared" si="19"/>
        <v>6330000</v>
      </c>
      <c r="J109">
        <f t="shared" si="20"/>
        <v>15</v>
      </c>
    </row>
    <row r="110" spans="1:10" x14ac:dyDescent="0.2">
      <c r="A110" t="s">
        <v>152</v>
      </c>
      <c r="B110" t="s">
        <v>149</v>
      </c>
      <c r="C110">
        <v>16</v>
      </c>
      <c r="D110" t="str">
        <f t="shared" si="17"/>
        <v>T4_高</v>
      </c>
      <c r="E110" t="str">
        <f t="shared" si="18"/>
        <v>T4_高_16</v>
      </c>
      <c r="F110">
        <v>80</v>
      </c>
      <c r="G110">
        <v>634000</v>
      </c>
      <c r="H110">
        <f t="shared" si="12"/>
        <v>1080</v>
      </c>
      <c r="I110">
        <f t="shared" si="19"/>
        <v>6964000</v>
      </c>
      <c r="J110">
        <f t="shared" si="20"/>
        <v>16</v>
      </c>
    </row>
    <row r="111" spans="1:10" x14ac:dyDescent="0.2">
      <c r="A111" t="s">
        <v>152</v>
      </c>
      <c r="B111" t="s">
        <v>149</v>
      </c>
      <c r="C111">
        <v>17</v>
      </c>
      <c r="D111" t="str">
        <f t="shared" si="17"/>
        <v>T4_高</v>
      </c>
      <c r="E111" t="str">
        <f t="shared" si="18"/>
        <v>T4_高_17</v>
      </c>
      <c r="F111">
        <v>80</v>
      </c>
      <c r="G111">
        <v>634000</v>
      </c>
      <c r="H111">
        <f t="shared" si="12"/>
        <v>1160</v>
      </c>
      <c r="I111">
        <f t="shared" si="19"/>
        <v>7598000</v>
      </c>
      <c r="J111">
        <f t="shared" si="20"/>
        <v>17</v>
      </c>
    </row>
    <row r="112" spans="1:10" x14ac:dyDescent="0.2">
      <c r="A112" t="s">
        <v>152</v>
      </c>
      <c r="B112" t="s">
        <v>149</v>
      </c>
      <c r="C112">
        <v>18</v>
      </c>
      <c r="D112" t="str">
        <f t="shared" si="17"/>
        <v>T4_高</v>
      </c>
      <c r="E112" t="str">
        <f t="shared" si="18"/>
        <v>T4_高_18</v>
      </c>
      <c r="F112">
        <v>80</v>
      </c>
      <c r="G112">
        <v>634000</v>
      </c>
      <c r="H112">
        <f t="shared" si="12"/>
        <v>1240</v>
      </c>
      <c r="I112">
        <f t="shared" si="19"/>
        <v>8232000</v>
      </c>
      <c r="J112">
        <f t="shared" si="20"/>
        <v>18</v>
      </c>
    </row>
    <row r="113" spans="1:10" x14ac:dyDescent="0.2">
      <c r="A113" t="s">
        <v>152</v>
      </c>
      <c r="B113" t="s">
        <v>149</v>
      </c>
      <c r="C113">
        <v>19</v>
      </c>
      <c r="D113" t="str">
        <f t="shared" si="17"/>
        <v>T4_高</v>
      </c>
      <c r="E113" t="str">
        <f t="shared" si="18"/>
        <v>T4_高_19</v>
      </c>
      <c r="F113">
        <v>80</v>
      </c>
      <c r="G113">
        <v>634000</v>
      </c>
      <c r="H113">
        <f t="shared" si="12"/>
        <v>1320</v>
      </c>
      <c r="I113">
        <f t="shared" si="19"/>
        <v>8866000</v>
      </c>
      <c r="J113">
        <f t="shared" si="20"/>
        <v>19</v>
      </c>
    </row>
    <row r="114" spans="1:10" x14ac:dyDescent="0.2">
      <c r="A114" t="s">
        <v>159</v>
      </c>
      <c r="B114" t="s">
        <v>135</v>
      </c>
      <c r="C114">
        <v>1</v>
      </c>
      <c r="D114" t="str">
        <f t="shared" si="8"/>
        <v>T5_低</v>
      </c>
      <c r="E114" t="str">
        <f t="shared" si="9"/>
        <v>T5_低_1</v>
      </c>
      <c r="F114">
        <v>48</v>
      </c>
      <c r="G114">
        <v>71000</v>
      </c>
      <c r="H114">
        <f>IF(C114=1,F114,F114+H106)</f>
        <v>48</v>
      </c>
      <c r="I114">
        <f>IF(C114=1,G114,G114+I106)</f>
        <v>71000</v>
      </c>
      <c r="J114">
        <f t="shared" si="11"/>
        <v>1</v>
      </c>
    </row>
    <row r="115" spans="1:10" x14ac:dyDescent="0.2">
      <c r="A115" t="s">
        <v>159</v>
      </c>
      <c r="B115" t="s">
        <v>135</v>
      </c>
      <c r="C115">
        <v>2</v>
      </c>
      <c r="D115" t="str">
        <f t="shared" si="8"/>
        <v>T5_低</v>
      </c>
      <c r="E115" t="str">
        <f t="shared" si="9"/>
        <v>T5_低_2</v>
      </c>
      <c r="F115">
        <v>48</v>
      </c>
      <c r="G115">
        <v>141000</v>
      </c>
      <c r="H115">
        <f t="shared" si="12"/>
        <v>96</v>
      </c>
      <c r="I115">
        <f t="shared" si="10"/>
        <v>212000</v>
      </c>
      <c r="J115">
        <f t="shared" si="11"/>
        <v>2</v>
      </c>
    </row>
    <row r="116" spans="1:10" x14ac:dyDescent="0.2">
      <c r="A116" t="s">
        <v>159</v>
      </c>
      <c r="B116" t="s">
        <v>135</v>
      </c>
      <c r="C116">
        <v>3</v>
      </c>
      <c r="D116" t="str">
        <f t="shared" si="8"/>
        <v>T5_低</v>
      </c>
      <c r="E116" t="str">
        <f t="shared" si="9"/>
        <v>T5_低_3</v>
      </c>
      <c r="F116">
        <v>64</v>
      </c>
      <c r="G116">
        <v>212000</v>
      </c>
      <c r="H116">
        <f t="shared" si="12"/>
        <v>160</v>
      </c>
      <c r="I116">
        <f t="shared" si="10"/>
        <v>424000</v>
      </c>
      <c r="J116">
        <f t="shared" si="11"/>
        <v>3</v>
      </c>
    </row>
    <row r="117" spans="1:10" x14ac:dyDescent="0.2">
      <c r="A117" t="s">
        <v>159</v>
      </c>
      <c r="B117" t="s">
        <v>135</v>
      </c>
      <c r="C117">
        <v>4</v>
      </c>
      <c r="D117" t="str">
        <f t="shared" si="8"/>
        <v>T5_低</v>
      </c>
      <c r="E117" t="str">
        <f t="shared" si="9"/>
        <v>T5_低_4</v>
      </c>
      <c r="F117">
        <v>80</v>
      </c>
      <c r="G117">
        <v>283000</v>
      </c>
      <c r="H117">
        <f t="shared" si="12"/>
        <v>240</v>
      </c>
      <c r="I117">
        <f t="shared" si="10"/>
        <v>707000</v>
      </c>
      <c r="J117">
        <f t="shared" si="11"/>
        <v>4</v>
      </c>
    </row>
    <row r="118" spans="1:10" x14ac:dyDescent="0.2">
      <c r="A118" t="s">
        <v>159</v>
      </c>
      <c r="B118" t="s">
        <v>135</v>
      </c>
      <c r="C118">
        <v>5</v>
      </c>
      <c r="D118" t="str">
        <f t="shared" si="8"/>
        <v>T5_低</v>
      </c>
      <c r="E118" t="str">
        <f t="shared" si="9"/>
        <v>T5_低_5</v>
      </c>
      <c r="F118">
        <v>80</v>
      </c>
      <c r="G118">
        <v>354000</v>
      </c>
      <c r="H118">
        <f t="shared" si="12"/>
        <v>320</v>
      </c>
      <c r="I118">
        <f t="shared" si="10"/>
        <v>1061000</v>
      </c>
      <c r="J118">
        <f t="shared" si="11"/>
        <v>5</v>
      </c>
    </row>
    <row r="119" spans="1:10" x14ac:dyDescent="0.2">
      <c r="A119" t="s">
        <v>159</v>
      </c>
      <c r="B119" t="s">
        <v>135</v>
      </c>
      <c r="C119">
        <v>6</v>
      </c>
      <c r="D119" t="str">
        <f t="shared" si="8"/>
        <v>T5_低</v>
      </c>
      <c r="E119" t="str">
        <f t="shared" si="9"/>
        <v>T5_低_6</v>
      </c>
      <c r="F119">
        <v>80</v>
      </c>
      <c r="G119">
        <v>425000</v>
      </c>
      <c r="H119">
        <f t="shared" si="12"/>
        <v>400</v>
      </c>
      <c r="I119">
        <f t="shared" si="10"/>
        <v>1486000</v>
      </c>
      <c r="J119">
        <f t="shared" si="11"/>
        <v>6</v>
      </c>
    </row>
    <row r="120" spans="1:10" x14ac:dyDescent="0.2">
      <c r="A120" t="s">
        <v>159</v>
      </c>
      <c r="B120" t="s">
        <v>135</v>
      </c>
      <c r="C120">
        <v>7</v>
      </c>
      <c r="D120" t="str">
        <f t="shared" si="8"/>
        <v>T5_低</v>
      </c>
      <c r="E120" t="str">
        <f t="shared" si="9"/>
        <v>T5_低_7</v>
      </c>
      <c r="F120">
        <v>100</v>
      </c>
      <c r="G120">
        <v>496000</v>
      </c>
      <c r="H120">
        <f t="shared" si="12"/>
        <v>500</v>
      </c>
      <c r="I120">
        <f t="shared" si="10"/>
        <v>1982000</v>
      </c>
      <c r="J120">
        <f t="shared" si="11"/>
        <v>7</v>
      </c>
    </row>
    <row r="121" spans="1:10" x14ac:dyDescent="0.2">
      <c r="A121" t="s">
        <v>159</v>
      </c>
      <c r="B121" t="s">
        <v>135</v>
      </c>
      <c r="C121">
        <v>8</v>
      </c>
      <c r="D121" t="str">
        <f t="shared" si="8"/>
        <v>T5_低</v>
      </c>
      <c r="E121" t="str">
        <f t="shared" si="9"/>
        <v>T5_低_8</v>
      </c>
      <c r="F121">
        <v>100</v>
      </c>
      <c r="G121">
        <v>567000</v>
      </c>
      <c r="H121">
        <f t="shared" si="12"/>
        <v>600</v>
      </c>
      <c r="I121">
        <f t="shared" si="10"/>
        <v>2549000</v>
      </c>
      <c r="J121">
        <f t="shared" si="11"/>
        <v>8</v>
      </c>
    </row>
    <row r="122" spans="1:10" x14ac:dyDescent="0.2">
      <c r="A122" t="s">
        <v>159</v>
      </c>
      <c r="B122" t="s">
        <v>135</v>
      </c>
      <c r="C122">
        <v>9</v>
      </c>
      <c r="D122" t="str">
        <f t="shared" si="8"/>
        <v>T5_低</v>
      </c>
      <c r="E122" t="str">
        <f t="shared" si="9"/>
        <v>T5_低_9</v>
      </c>
      <c r="F122">
        <v>100</v>
      </c>
      <c r="G122">
        <v>638000</v>
      </c>
      <c r="H122">
        <f t="shared" si="12"/>
        <v>700</v>
      </c>
      <c r="I122">
        <f t="shared" si="10"/>
        <v>3187000</v>
      </c>
      <c r="J122">
        <f t="shared" si="11"/>
        <v>9</v>
      </c>
    </row>
    <row r="123" spans="1:10" x14ac:dyDescent="0.2">
      <c r="A123" t="s">
        <v>159</v>
      </c>
      <c r="B123" t="s">
        <v>135</v>
      </c>
      <c r="C123">
        <v>10</v>
      </c>
      <c r="D123" t="str">
        <f t="shared" si="8"/>
        <v>T5_低</v>
      </c>
      <c r="E123" t="str">
        <f t="shared" si="9"/>
        <v>T5_低_10</v>
      </c>
      <c r="F123">
        <v>100</v>
      </c>
      <c r="G123">
        <v>709000</v>
      </c>
      <c r="H123">
        <f t="shared" si="12"/>
        <v>800</v>
      </c>
      <c r="I123">
        <f t="shared" si="10"/>
        <v>3896000</v>
      </c>
      <c r="J123">
        <f t="shared" si="11"/>
        <v>10</v>
      </c>
    </row>
    <row r="124" spans="1:10" x14ac:dyDescent="0.2">
      <c r="A124" t="s">
        <v>159</v>
      </c>
      <c r="B124" t="s">
        <v>135</v>
      </c>
      <c r="C124">
        <v>11</v>
      </c>
      <c r="D124" t="str">
        <f t="shared" si="8"/>
        <v>T5_低</v>
      </c>
      <c r="E124" t="str">
        <f t="shared" si="9"/>
        <v>T5_低_11</v>
      </c>
      <c r="F124">
        <v>100</v>
      </c>
      <c r="G124">
        <v>780000</v>
      </c>
      <c r="H124">
        <f t="shared" si="12"/>
        <v>900</v>
      </c>
      <c r="I124">
        <f t="shared" si="10"/>
        <v>4676000</v>
      </c>
      <c r="J124">
        <f t="shared" si="11"/>
        <v>11</v>
      </c>
    </row>
    <row r="125" spans="1:10" x14ac:dyDescent="0.2">
      <c r="A125" t="s">
        <v>159</v>
      </c>
      <c r="B125" t="s">
        <v>135</v>
      </c>
      <c r="C125">
        <v>12</v>
      </c>
      <c r="D125" t="str">
        <f t="shared" si="8"/>
        <v>T5_低</v>
      </c>
      <c r="E125" t="str">
        <f t="shared" si="9"/>
        <v>T5_低_12</v>
      </c>
      <c r="F125">
        <v>100</v>
      </c>
      <c r="G125">
        <v>851000</v>
      </c>
      <c r="H125">
        <f t="shared" si="12"/>
        <v>1000</v>
      </c>
      <c r="I125">
        <f t="shared" si="10"/>
        <v>5527000</v>
      </c>
      <c r="J125">
        <f t="shared" si="11"/>
        <v>12</v>
      </c>
    </row>
    <row r="126" spans="1:10" x14ac:dyDescent="0.2">
      <c r="A126" t="s">
        <v>159</v>
      </c>
      <c r="B126" t="s">
        <v>135</v>
      </c>
      <c r="C126">
        <v>13</v>
      </c>
      <c r="D126" t="str">
        <f t="shared" si="8"/>
        <v>T5_低</v>
      </c>
      <c r="E126" t="str">
        <f t="shared" si="9"/>
        <v>T5_低_13</v>
      </c>
      <c r="F126">
        <v>100</v>
      </c>
      <c r="G126">
        <v>922000</v>
      </c>
      <c r="H126">
        <f t="shared" si="12"/>
        <v>1100</v>
      </c>
      <c r="I126">
        <f t="shared" si="10"/>
        <v>6449000</v>
      </c>
      <c r="J126">
        <f t="shared" si="11"/>
        <v>13</v>
      </c>
    </row>
    <row r="127" spans="1:10" x14ac:dyDescent="0.2">
      <c r="A127" t="s">
        <v>159</v>
      </c>
      <c r="B127" t="s">
        <v>135</v>
      </c>
      <c r="C127">
        <v>14</v>
      </c>
      <c r="D127" t="str">
        <f t="shared" si="8"/>
        <v>T5_低</v>
      </c>
      <c r="E127" t="str">
        <f t="shared" si="9"/>
        <v>T5_低_14</v>
      </c>
      <c r="F127">
        <v>100</v>
      </c>
      <c r="G127">
        <v>0</v>
      </c>
      <c r="H127">
        <f t="shared" si="12"/>
        <v>1200</v>
      </c>
      <c r="I127">
        <f t="shared" si="10"/>
        <v>6449000</v>
      </c>
      <c r="J127">
        <f t="shared" si="11"/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F13"/>
  <sheetViews>
    <sheetView zoomScale="120" zoomScaleNormal="120" workbookViewId="0">
      <selection activeCell="E2" sqref="E2"/>
    </sheetView>
  </sheetViews>
  <sheetFormatPr defaultColWidth="8.875" defaultRowHeight="14.25" x14ac:dyDescent="0.2"/>
  <cols>
    <col min="4" max="4" width="11" customWidth="1"/>
    <col min="5" max="5" width="15" customWidth="1"/>
    <col min="6" max="6" width="12.125" bestFit="1" customWidth="1"/>
  </cols>
  <sheetData>
    <row r="1" spans="1:6" x14ac:dyDescent="0.2">
      <c r="A1" s="2" t="s">
        <v>938</v>
      </c>
      <c r="B1" s="2" t="s">
        <v>939</v>
      </c>
      <c r="C1" s="2" t="s">
        <v>940</v>
      </c>
      <c r="D1" s="2" t="s">
        <v>941</v>
      </c>
      <c r="E1" s="15" t="s">
        <v>1100</v>
      </c>
      <c r="F1" s="56" t="s">
        <v>1101</v>
      </c>
    </row>
    <row r="2" spans="1:6" x14ac:dyDescent="0.2">
      <c r="A2" s="3">
        <v>1</v>
      </c>
      <c r="B2" s="3">
        <v>1</v>
      </c>
      <c r="C2" s="3">
        <v>250</v>
      </c>
      <c r="D2" s="3">
        <v>2</v>
      </c>
      <c r="E2" s="3">
        <v>0</v>
      </c>
      <c r="F2" s="3">
        <f>B2</f>
        <v>1</v>
      </c>
    </row>
    <row r="3" spans="1:6" x14ac:dyDescent="0.2">
      <c r="A3" s="3">
        <v>1</v>
      </c>
      <c r="B3" s="3">
        <v>2</v>
      </c>
      <c r="C3" s="3">
        <v>350</v>
      </c>
      <c r="D3" s="3">
        <v>6</v>
      </c>
      <c r="E3" s="3">
        <v>2</v>
      </c>
      <c r="F3" s="3">
        <f t="shared" ref="F3:F13" si="0">B3</f>
        <v>2</v>
      </c>
    </row>
    <row r="4" spans="1:6" x14ac:dyDescent="0.2">
      <c r="A4" s="3">
        <v>1</v>
      </c>
      <c r="B4" s="3">
        <v>3</v>
      </c>
      <c r="C4" s="3">
        <v>0</v>
      </c>
      <c r="D4" s="3">
        <v>0</v>
      </c>
      <c r="E4" s="3">
        <v>8</v>
      </c>
      <c r="F4" s="3">
        <f t="shared" si="0"/>
        <v>3</v>
      </c>
    </row>
    <row r="5" spans="1:6" x14ac:dyDescent="0.2">
      <c r="A5" s="3">
        <v>2</v>
      </c>
      <c r="B5" s="3">
        <v>2</v>
      </c>
      <c r="C5" s="3">
        <v>350</v>
      </c>
      <c r="D5" s="3">
        <v>2</v>
      </c>
      <c r="E5" s="3">
        <v>0</v>
      </c>
      <c r="F5" s="3">
        <f t="shared" si="0"/>
        <v>2</v>
      </c>
    </row>
    <row r="6" spans="1:6" x14ac:dyDescent="0.2">
      <c r="A6" s="3">
        <v>2</v>
      </c>
      <c r="B6" s="3">
        <v>3</v>
      </c>
      <c r="C6" s="3">
        <v>2100</v>
      </c>
      <c r="D6" s="3">
        <v>6</v>
      </c>
      <c r="E6" s="3">
        <v>2</v>
      </c>
      <c r="F6" s="3">
        <f t="shared" si="0"/>
        <v>3</v>
      </c>
    </row>
    <row r="7" spans="1:6" x14ac:dyDescent="0.2">
      <c r="A7" s="3">
        <v>2</v>
      </c>
      <c r="B7" s="3">
        <v>4</v>
      </c>
      <c r="C7" s="3">
        <v>0</v>
      </c>
      <c r="D7" s="3">
        <v>0</v>
      </c>
      <c r="E7" s="3">
        <v>8</v>
      </c>
      <c r="F7" s="3">
        <f t="shared" si="0"/>
        <v>4</v>
      </c>
    </row>
    <row r="8" spans="1:6" x14ac:dyDescent="0.2">
      <c r="A8" s="3">
        <v>3</v>
      </c>
      <c r="B8" s="3">
        <v>3</v>
      </c>
      <c r="C8" s="3">
        <v>2100</v>
      </c>
      <c r="D8" s="3">
        <v>2</v>
      </c>
      <c r="E8" s="3">
        <v>0</v>
      </c>
      <c r="F8" s="3">
        <f t="shared" si="0"/>
        <v>3</v>
      </c>
    </row>
    <row r="9" spans="1:6" x14ac:dyDescent="0.2">
      <c r="A9" s="3">
        <v>3</v>
      </c>
      <c r="B9" s="3">
        <v>4</v>
      </c>
      <c r="C9" s="3">
        <v>7500</v>
      </c>
      <c r="D9" s="3">
        <v>6</v>
      </c>
      <c r="E9" s="3">
        <v>2</v>
      </c>
      <c r="F9" s="3">
        <f t="shared" si="0"/>
        <v>4</v>
      </c>
    </row>
    <row r="10" spans="1:6" x14ac:dyDescent="0.2">
      <c r="A10" s="3">
        <v>3</v>
      </c>
      <c r="B10" s="3">
        <v>5</v>
      </c>
      <c r="C10" s="3">
        <v>0</v>
      </c>
      <c r="D10" s="3">
        <v>0</v>
      </c>
      <c r="E10" s="3">
        <v>8</v>
      </c>
      <c r="F10" s="3">
        <f t="shared" si="0"/>
        <v>5</v>
      </c>
    </row>
    <row r="11" spans="1:6" x14ac:dyDescent="0.2">
      <c r="A11" s="5">
        <v>4</v>
      </c>
      <c r="B11" s="3">
        <v>4</v>
      </c>
      <c r="C11" s="3">
        <v>7500</v>
      </c>
      <c r="D11" s="3">
        <v>2</v>
      </c>
      <c r="E11" s="3">
        <v>0</v>
      </c>
      <c r="F11" s="3">
        <f t="shared" si="0"/>
        <v>4</v>
      </c>
    </row>
    <row r="12" spans="1:6" x14ac:dyDescent="0.2">
      <c r="A12" s="5">
        <v>4</v>
      </c>
      <c r="B12" s="3">
        <v>5</v>
      </c>
      <c r="C12" s="3">
        <v>12850</v>
      </c>
      <c r="D12" s="3">
        <v>6</v>
      </c>
      <c r="E12" s="3">
        <v>2</v>
      </c>
      <c r="F12" s="3">
        <f t="shared" si="0"/>
        <v>5</v>
      </c>
    </row>
    <row r="13" spans="1:6" x14ac:dyDescent="0.2">
      <c r="A13" s="5">
        <v>4</v>
      </c>
      <c r="B13" s="3">
        <v>6</v>
      </c>
      <c r="C13" s="3">
        <v>0</v>
      </c>
      <c r="D13" s="3">
        <v>0</v>
      </c>
      <c r="E13" s="3">
        <v>8</v>
      </c>
      <c r="F13" s="3">
        <f t="shared" si="0"/>
        <v>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J662"/>
  <sheetViews>
    <sheetView workbookViewId="0">
      <selection activeCell="E4" sqref="E4"/>
    </sheetView>
  </sheetViews>
  <sheetFormatPr defaultColWidth="8.875" defaultRowHeight="14.25" x14ac:dyDescent="0.2"/>
  <cols>
    <col min="1" max="1" width="19.625" customWidth="1"/>
  </cols>
  <sheetData>
    <row r="2" spans="1:5" x14ac:dyDescent="0.2">
      <c r="A2" t="s">
        <v>197</v>
      </c>
      <c r="B2" t="s">
        <v>198</v>
      </c>
      <c r="C2" t="s">
        <v>1122</v>
      </c>
      <c r="D2" t="s">
        <v>1123</v>
      </c>
      <c r="E2" t="s">
        <v>1134</v>
      </c>
    </row>
    <row r="3" spans="1:5" x14ac:dyDescent="0.2">
      <c r="A3" t="s">
        <v>199</v>
      </c>
      <c r="B3">
        <v>101</v>
      </c>
      <c r="C3">
        <v>0</v>
      </c>
      <c r="D3">
        <f>IFERROR(VLOOKUP(C3,挂机玩法规划!$K$2:$L$4,2,FALSE),0)</f>
        <v>0</v>
      </c>
      <c r="E3">
        <v>1</v>
      </c>
    </row>
    <row r="4" spans="1:5" x14ac:dyDescent="0.2">
      <c r="A4" t="s">
        <v>200</v>
      </c>
      <c r="B4">
        <v>102</v>
      </c>
      <c r="C4">
        <v>0</v>
      </c>
      <c r="D4">
        <f>IFERROR(VLOOKUP(C4,挂机玩法规划!$K$2:$L$4,2,FALSE),0)</f>
        <v>0</v>
      </c>
      <c r="E4">
        <v>2.1999999999999999E-2</v>
      </c>
    </row>
    <row r="5" spans="1:5" x14ac:dyDescent="0.2">
      <c r="A5" t="s">
        <v>201</v>
      </c>
      <c r="B5">
        <v>103</v>
      </c>
      <c r="C5">
        <v>0</v>
      </c>
      <c r="D5">
        <f>IFERROR(VLOOKUP(C5,挂机玩法规划!$K$2:$L$4,2,FALSE),0)</f>
        <v>0</v>
      </c>
    </row>
    <row r="6" spans="1:5" x14ac:dyDescent="0.2">
      <c r="A6" t="s">
        <v>202</v>
      </c>
      <c r="B6">
        <v>104</v>
      </c>
      <c r="C6">
        <v>0</v>
      </c>
      <c r="D6">
        <f>IFERROR(VLOOKUP(C6,挂机玩法规划!$K$2:$L$4,2,FALSE),0)</f>
        <v>0</v>
      </c>
    </row>
    <row r="7" spans="1:5" x14ac:dyDescent="0.2">
      <c r="A7" t="s">
        <v>203</v>
      </c>
      <c r="B7">
        <v>105</v>
      </c>
      <c r="C7">
        <v>0</v>
      </c>
      <c r="D7">
        <f>IFERROR(VLOOKUP(C7,挂机玩法规划!$K$2:$L$4,2,FALSE),0)</f>
        <v>0</v>
      </c>
    </row>
    <row r="8" spans="1:5" x14ac:dyDescent="0.2">
      <c r="A8" t="s">
        <v>204</v>
      </c>
      <c r="B8">
        <v>106</v>
      </c>
      <c r="C8">
        <v>0</v>
      </c>
      <c r="D8">
        <f>IFERROR(VLOOKUP(C8,挂机玩法规划!$K$2:$L$4,2,FALSE),0)</f>
        <v>0</v>
      </c>
    </row>
    <row r="9" spans="1:5" x14ac:dyDescent="0.2">
      <c r="A9" t="s">
        <v>205</v>
      </c>
      <c r="B9">
        <v>107</v>
      </c>
      <c r="C9">
        <v>0</v>
      </c>
      <c r="D9">
        <f>IFERROR(VLOOKUP(C9,挂机玩法规划!$K$2:$L$4,2,FALSE),0)</f>
        <v>0</v>
      </c>
    </row>
    <row r="10" spans="1:5" x14ac:dyDescent="0.2">
      <c r="A10" t="s">
        <v>206</v>
      </c>
      <c r="B10">
        <v>108</v>
      </c>
      <c r="C10">
        <v>0</v>
      </c>
      <c r="D10">
        <f>IFERROR(VLOOKUP(C10,挂机玩法规划!$K$2:$L$4,2,FALSE),0)</f>
        <v>0</v>
      </c>
    </row>
    <row r="11" spans="1:5" x14ac:dyDescent="0.2">
      <c r="A11" t="s">
        <v>207</v>
      </c>
      <c r="B11">
        <v>109</v>
      </c>
      <c r="C11">
        <v>0</v>
      </c>
      <c r="D11">
        <f>IFERROR(VLOOKUP(C11,挂机玩法规划!$K$2:$L$4,2,FALSE),0)</f>
        <v>0</v>
      </c>
    </row>
    <row r="12" spans="1:5" x14ac:dyDescent="0.2">
      <c r="A12" t="s">
        <v>208</v>
      </c>
      <c r="B12">
        <v>110</v>
      </c>
      <c r="C12">
        <v>0</v>
      </c>
      <c r="D12">
        <f>IFERROR(VLOOKUP(C12,挂机玩法规划!$K$2:$L$4,2,FALSE),0)</f>
        <v>0</v>
      </c>
    </row>
    <row r="13" spans="1:5" x14ac:dyDescent="0.2">
      <c r="A13" t="s">
        <v>209</v>
      </c>
      <c r="B13">
        <v>111</v>
      </c>
      <c r="C13">
        <v>0</v>
      </c>
      <c r="D13">
        <f>IFERROR(VLOOKUP(C13,挂机玩法规划!$K$2:$L$4,2,FALSE),0)</f>
        <v>0</v>
      </c>
    </row>
    <row r="14" spans="1:5" x14ac:dyDescent="0.2">
      <c r="C14">
        <v>0</v>
      </c>
      <c r="D14">
        <f>IFERROR(VLOOKUP(C14,挂机玩法规划!$K$2:$L$4,2,FALSE),0)</f>
        <v>0</v>
      </c>
    </row>
    <row r="15" spans="1:5" x14ac:dyDescent="0.2">
      <c r="A15" t="s">
        <v>210</v>
      </c>
      <c r="B15" t="s">
        <v>211</v>
      </c>
      <c r="C15">
        <v>0</v>
      </c>
      <c r="D15">
        <f>IFERROR(VLOOKUP(C15,挂机玩法规划!$K$2:$L$4,2,FALSE),0)</f>
        <v>0</v>
      </c>
    </row>
    <row r="16" spans="1:5" x14ac:dyDescent="0.2">
      <c r="A16" t="s">
        <v>212</v>
      </c>
      <c r="B16">
        <v>100301</v>
      </c>
      <c r="C16">
        <v>0</v>
      </c>
      <c r="D16">
        <f>IFERROR(VLOOKUP(C16,挂机玩法规划!$K$2:$L$4,2,FALSE),0)</f>
        <v>0</v>
      </c>
    </row>
    <row r="17" spans="1:4" x14ac:dyDescent="0.2">
      <c r="A17" t="s">
        <v>213</v>
      </c>
      <c r="B17">
        <v>100302</v>
      </c>
      <c r="C17">
        <v>0</v>
      </c>
      <c r="D17">
        <f>IFERROR(VLOOKUP(C17,挂机玩法规划!$K$2:$L$4,2,FALSE),0)</f>
        <v>0</v>
      </c>
    </row>
    <row r="18" spans="1:4" x14ac:dyDescent="0.2">
      <c r="A18" t="s">
        <v>214</v>
      </c>
      <c r="B18">
        <v>100501</v>
      </c>
      <c r="C18">
        <v>0</v>
      </c>
      <c r="D18">
        <f>IFERROR(VLOOKUP(C18,挂机玩法规划!$K$2:$L$4,2,FALSE),0)</f>
        <v>0</v>
      </c>
    </row>
    <row r="19" spans="1:4" x14ac:dyDescent="0.2">
      <c r="A19" t="s">
        <v>215</v>
      </c>
      <c r="B19">
        <v>100502</v>
      </c>
      <c r="C19">
        <v>0</v>
      </c>
      <c r="D19">
        <f>IFERROR(VLOOKUP(C19,挂机玩法规划!$K$2:$L$4,2,FALSE),0)</f>
        <v>0</v>
      </c>
    </row>
    <row r="20" spans="1:4" x14ac:dyDescent="0.2">
      <c r="A20" t="s">
        <v>216</v>
      </c>
      <c r="B20">
        <v>100503</v>
      </c>
      <c r="C20">
        <v>0</v>
      </c>
      <c r="D20">
        <f>IFERROR(VLOOKUP(C20,挂机玩法规划!$K$2:$L$4,2,FALSE),0)</f>
        <v>0</v>
      </c>
    </row>
    <row r="21" spans="1:4" x14ac:dyDescent="0.2">
      <c r="A21" t="s">
        <v>217</v>
      </c>
      <c r="B21">
        <v>100801</v>
      </c>
      <c r="C21">
        <v>0</v>
      </c>
      <c r="D21">
        <f>IFERROR(VLOOKUP(C21,挂机玩法规划!$K$2:$L$4,2,FALSE),0)</f>
        <v>0</v>
      </c>
    </row>
    <row r="22" spans="1:4" x14ac:dyDescent="0.2">
      <c r="A22" t="s">
        <v>218</v>
      </c>
      <c r="B22">
        <v>100802</v>
      </c>
      <c r="C22">
        <v>0</v>
      </c>
      <c r="D22">
        <f>IFERROR(VLOOKUP(C22,挂机玩法规划!$K$2:$L$4,2,FALSE),0)</f>
        <v>0</v>
      </c>
    </row>
    <row r="23" spans="1:4" x14ac:dyDescent="0.2">
      <c r="A23" t="s">
        <v>219</v>
      </c>
      <c r="B23">
        <v>100803</v>
      </c>
      <c r="C23">
        <v>0</v>
      </c>
      <c r="D23">
        <f>IFERROR(VLOOKUP(C23,挂机玩法规划!$K$2:$L$4,2,FALSE),0)</f>
        <v>0</v>
      </c>
    </row>
    <row r="24" spans="1:4" x14ac:dyDescent="0.2">
      <c r="C24">
        <v>0</v>
      </c>
      <c r="D24">
        <f>IFERROR(VLOOKUP(C24,挂机玩法规划!$K$2:$L$4,2,FALSE),0)</f>
        <v>0</v>
      </c>
    </row>
    <row r="25" spans="1:4" x14ac:dyDescent="0.2">
      <c r="A25" t="s">
        <v>220</v>
      </c>
      <c r="B25" t="s">
        <v>211</v>
      </c>
      <c r="C25">
        <v>0</v>
      </c>
      <c r="D25">
        <f>IFERROR(VLOOKUP(C25,挂机玩法规划!$K$2:$L$4,2,FALSE),0)</f>
        <v>0</v>
      </c>
    </row>
    <row r="26" spans="1:4" x14ac:dyDescent="0.2">
      <c r="A26" t="s">
        <v>222</v>
      </c>
      <c r="B26">
        <v>80101</v>
      </c>
      <c r="C26">
        <v>0</v>
      </c>
      <c r="D26">
        <f>IFERROR(VLOOKUP(C26,挂机玩法规划!$K$2:$L$4,2,FALSE),0)</f>
        <v>0</v>
      </c>
    </row>
    <row r="27" spans="1:4" x14ac:dyDescent="0.2">
      <c r="A27" t="s">
        <v>223</v>
      </c>
      <c r="B27">
        <v>81901</v>
      </c>
      <c r="C27">
        <v>0</v>
      </c>
      <c r="D27">
        <f>IFERROR(VLOOKUP(C27,挂机玩法规划!$K$2:$L$4,2,FALSE),0)</f>
        <v>0</v>
      </c>
    </row>
    <row r="28" spans="1:4" x14ac:dyDescent="0.2">
      <c r="A28" t="s">
        <v>224</v>
      </c>
      <c r="B28">
        <v>83701</v>
      </c>
      <c r="C28">
        <v>0</v>
      </c>
      <c r="D28">
        <f>IFERROR(VLOOKUP(C28,挂机玩法规划!$K$2:$L$4,2,FALSE),0)</f>
        <v>0</v>
      </c>
    </row>
    <row r="29" spans="1:4" x14ac:dyDescent="0.2">
      <c r="A29" t="s">
        <v>225</v>
      </c>
      <c r="B29">
        <v>80102</v>
      </c>
      <c r="C29">
        <v>0</v>
      </c>
      <c r="D29">
        <f>IFERROR(VLOOKUP(C29,挂机玩法规划!$K$2:$L$4,2,FALSE),0)</f>
        <v>0</v>
      </c>
    </row>
    <row r="30" spans="1:4" x14ac:dyDescent="0.2">
      <c r="A30" t="s">
        <v>226</v>
      </c>
      <c r="B30">
        <v>81902</v>
      </c>
      <c r="C30">
        <v>0</v>
      </c>
      <c r="D30">
        <f>IFERROR(VLOOKUP(C30,挂机玩法规划!$K$2:$L$4,2,FALSE),0)</f>
        <v>0</v>
      </c>
    </row>
    <row r="31" spans="1:4" x14ac:dyDescent="0.2">
      <c r="A31" t="s">
        <v>227</v>
      </c>
      <c r="B31">
        <v>83702</v>
      </c>
      <c r="C31">
        <v>0</v>
      </c>
      <c r="D31">
        <f>IFERROR(VLOOKUP(C31,挂机玩法规划!$K$2:$L$4,2,FALSE),0)</f>
        <v>0</v>
      </c>
    </row>
    <row r="32" spans="1:4" x14ac:dyDescent="0.2">
      <c r="A32" t="s">
        <v>228</v>
      </c>
      <c r="B32">
        <v>80301</v>
      </c>
      <c r="C32">
        <v>0</v>
      </c>
      <c r="D32">
        <f>IFERROR(VLOOKUP(C32,挂机玩法规划!$K$2:$L$4,2,FALSE),0)</f>
        <v>0</v>
      </c>
    </row>
    <row r="33" spans="1:4" x14ac:dyDescent="0.2">
      <c r="A33" t="s">
        <v>229</v>
      </c>
      <c r="B33">
        <v>82101</v>
      </c>
      <c r="C33">
        <v>0</v>
      </c>
      <c r="D33">
        <f>IFERROR(VLOOKUP(C33,挂机玩法规划!$K$2:$L$4,2,FALSE),0)</f>
        <v>0</v>
      </c>
    </row>
    <row r="34" spans="1:4" x14ac:dyDescent="0.2">
      <c r="A34" t="s">
        <v>230</v>
      </c>
      <c r="B34">
        <v>83901</v>
      </c>
      <c r="C34">
        <v>0</v>
      </c>
      <c r="D34">
        <f>IFERROR(VLOOKUP(C34,挂机玩法规划!$K$2:$L$4,2,FALSE),0)</f>
        <v>0</v>
      </c>
    </row>
    <row r="35" spans="1:4" x14ac:dyDescent="0.2">
      <c r="A35" t="s">
        <v>231</v>
      </c>
      <c r="B35">
        <v>80302</v>
      </c>
      <c r="C35">
        <v>0</v>
      </c>
      <c r="D35">
        <f>IFERROR(VLOOKUP(C35,挂机玩法规划!$K$2:$L$4,2,FALSE),0)</f>
        <v>0</v>
      </c>
    </row>
    <row r="36" spans="1:4" x14ac:dyDescent="0.2">
      <c r="A36" t="s">
        <v>232</v>
      </c>
      <c r="B36">
        <v>82102</v>
      </c>
      <c r="C36">
        <v>0</v>
      </c>
      <c r="D36">
        <f>IFERROR(VLOOKUP(C36,挂机玩法规划!$K$2:$L$4,2,FALSE),0)</f>
        <v>0</v>
      </c>
    </row>
    <row r="37" spans="1:4" x14ac:dyDescent="0.2">
      <c r="A37" t="s">
        <v>233</v>
      </c>
      <c r="B37">
        <v>83902</v>
      </c>
      <c r="C37">
        <v>0</v>
      </c>
      <c r="D37">
        <f>IFERROR(VLOOKUP(C37,挂机玩法规划!$K$2:$L$4,2,FALSE),0)</f>
        <v>0</v>
      </c>
    </row>
    <row r="38" spans="1:4" x14ac:dyDescent="0.2">
      <c r="A38" t="s">
        <v>234</v>
      </c>
      <c r="B38">
        <v>80201</v>
      </c>
      <c r="C38">
        <v>0</v>
      </c>
      <c r="D38">
        <f>IFERROR(VLOOKUP(C38,挂机玩法规划!$K$2:$L$4,2,FALSE),0)</f>
        <v>0</v>
      </c>
    </row>
    <row r="39" spans="1:4" x14ac:dyDescent="0.2">
      <c r="A39" t="s">
        <v>235</v>
      </c>
      <c r="B39">
        <v>82001</v>
      </c>
      <c r="C39">
        <v>0</v>
      </c>
      <c r="D39">
        <f>IFERROR(VLOOKUP(C39,挂机玩法规划!$K$2:$L$4,2,FALSE),0)</f>
        <v>0</v>
      </c>
    </row>
    <row r="40" spans="1:4" x14ac:dyDescent="0.2">
      <c r="A40" t="s">
        <v>236</v>
      </c>
      <c r="B40">
        <v>83801</v>
      </c>
      <c r="C40">
        <v>0</v>
      </c>
      <c r="D40">
        <f>IFERROR(VLOOKUP(C40,挂机玩法规划!$K$2:$L$4,2,FALSE),0)</f>
        <v>0</v>
      </c>
    </row>
    <row r="41" spans="1:4" x14ac:dyDescent="0.2">
      <c r="A41" t="s">
        <v>237</v>
      </c>
      <c r="B41">
        <v>80202</v>
      </c>
      <c r="C41">
        <v>0</v>
      </c>
      <c r="D41">
        <f>IFERROR(VLOOKUP(C41,挂机玩法规划!$K$2:$L$4,2,FALSE),0)</f>
        <v>0</v>
      </c>
    </row>
    <row r="42" spans="1:4" x14ac:dyDescent="0.2">
      <c r="A42" t="s">
        <v>238</v>
      </c>
      <c r="B42">
        <v>82002</v>
      </c>
      <c r="C42">
        <v>0</v>
      </c>
      <c r="D42">
        <f>IFERROR(VLOOKUP(C42,挂机玩法规划!$K$2:$L$4,2,FALSE),0)</f>
        <v>0</v>
      </c>
    </row>
    <row r="43" spans="1:4" x14ac:dyDescent="0.2">
      <c r="A43" t="s">
        <v>239</v>
      </c>
      <c r="B43">
        <v>83802</v>
      </c>
      <c r="C43">
        <v>0</v>
      </c>
      <c r="D43">
        <f>IFERROR(VLOOKUP(C43,挂机玩法规划!$K$2:$L$4,2,FALSE),0)</f>
        <v>0</v>
      </c>
    </row>
    <row r="44" spans="1:4" x14ac:dyDescent="0.2">
      <c r="A44" t="s">
        <v>240</v>
      </c>
      <c r="B44">
        <v>80401</v>
      </c>
      <c r="C44">
        <v>0</v>
      </c>
      <c r="D44">
        <f>IFERROR(VLOOKUP(C44,挂机玩法规划!$K$2:$L$4,2,FALSE),0)</f>
        <v>0</v>
      </c>
    </row>
    <row r="45" spans="1:4" x14ac:dyDescent="0.2">
      <c r="A45" t="s">
        <v>241</v>
      </c>
      <c r="B45">
        <v>82201</v>
      </c>
      <c r="C45">
        <v>0</v>
      </c>
      <c r="D45">
        <f>IFERROR(VLOOKUP(C45,挂机玩法规划!$K$2:$L$4,2,FALSE),0)</f>
        <v>0</v>
      </c>
    </row>
    <row r="46" spans="1:4" x14ac:dyDescent="0.2">
      <c r="A46" t="s">
        <v>242</v>
      </c>
      <c r="B46">
        <v>84001</v>
      </c>
      <c r="C46">
        <v>0</v>
      </c>
      <c r="D46">
        <f>IFERROR(VLOOKUP(C46,挂机玩法规划!$K$2:$L$4,2,FALSE),0)</f>
        <v>0</v>
      </c>
    </row>
    <row r="47" spans="1:4" x14ac:dyDescent="0.2">
      <c r="A47" t="s">
        <v>243</v>
      </c>
      <c r="B47">
        <v>80402</v>
      </c>
      <c r="C47">
        <v>0</v>
      </c>
      <c r="D47">
        <f>IFERROR(VLOOKUP(C47,挂机玩法规划!$K$2:$L$4,2,FALSE),0)</f>
        <v>0</v>
      </c>
    </row>
    <row r="48" spans="1:4" x14ac:dyDescent="0.2">
      <c r="A48" t="s">
        <v>244</v>
      </c>
      <c r="B48">
        <v>82202</v>
      </c>
      <c r="C48">
        <v>0</v>
      </c>
      <c r="D48">
        <f>IFERROR(VLOOKUP(C48,挂机玩法规划!$K$2:$L$4,2,FALSE),0)</f>
        <v>0</v>
      </c>
    </row>
    <row r="49" spans="1:4" x14ac:dyDescent="0.2">
      <c r="A49" t="s">
        <v>245</v>
      </c>
      <c r="B49">
        <v>84002</v>
      </c>
      <c r="C49">
        <v>0</v>
      </c>
      <c r="D49">
        <f>IFERROR(VLOOKUP(C49,挂机玩法规划!$K$2:$L$4,2,FALSE),0)</f>
        <v>0</v>
      </c>
    </row>
    <row r="50" spans="1:4" x14ac:dyDescent="0.2">
      <c r="A50" t="s">
        <v>246</v>
      </c>
      <c r="B50">
        <v>80501</v>
      </c>
      <c r="C50">
        <v>0</v>
      </c>
      <c r="D50">
        <f>IFERROR(VLOOKUP(C50,挂机玩法规划!$K$2:$L$4,2,FALSE),0)</f>
        <v>0</v>
      </c>
    </row>
    <row r="51" spans="1:4" x14ac:dyDescent="0.2">
      <c r="A51" t="s">
        <v>247</v>
      </c>
      <c r="B51">
        <v>82301</v>
      </c>
      <c r="C51">
        <v>0</v>
      </c>
      <c r="D51">
        <f>IFERROR(VLOOKUP(C51,挂机玩法规划!$K$2:$L$4,2,FALSE),0)</f>
        <v>0</v>
      </c>
    </row>
    <row r="52" spans="1:4" x14ac:dyDescent="0.2">
      <c r="A52" t="s">
        <v>248</v>
      </c>
      <c r="B52">
        <v>84101</v>
      </c>
      <c r="C52">
        <v>0</v>
      </c>
      <c r="D52">
        <f>IFERROR(VLOOKUP(C52,挂机玩法规划!$K$2:$L$4,2,FALSE),0)</f>
        <v>0</v>
      </c>
    </row>
    <row r="53" spans="1:4" x14ac:dyDescent="0.2">
      <c r="A53" t="s">
        <v>249</v>
      </c>
      <c r="B53">
        <v>80502</v>
      </c>
      <c r="C53">
        <v>0</v>
      </c>
      <c r="D53">
        <f>IFERROR(VLOOKUP(C53,挂机玩法规划!$K$2:$L$4,2,FALSE),0)</f>
        <v>0</v>
      </c>
    </row>
    <row r="54" spans="1:4" x14ac:dyDescent="0.2">
      <c r="A54" t="s">
        <v>250</v>
      </c>
      <c r="B54">
        <v>82302</v>
      </c>
      <c r="C54">
        <v>0</v>
      </c>
      <c r="D54">
        <f>IFERROR(VLOOKUP(C54,挂机玩法规划!$K$2:$L$4,2,FALSE),0)</f>
        <v>0</v>
      </c>
    </row>
    <row r="55" spans="1:4" x14ac:dyDescent="0.2">
      <c r="A55" t="s">
        <v>251</v>
      </c>
      <c r="B55">
        <v>84102</v>
      </c>
      <c r="C55">
        <v>0</v>
      </c>
      <c r="D55">
        <f>IFERROR(VLOOKUP(C55,挂机玩法规划!$K$2:$L$4,2,FALSE),0)</f>
        <v>0</v>
      </c>
    </row>
    <row r="56" spans="1:4" x14ac:dyDescent="0.2">
      <c r="A56" t="s">
        <v>252</v>
      </c>
      <c r="B56">
        <v>80503</v>
      </c>
      <c r="C56">
        <v>0</v>
      </c>
      <c r="D56">
        <f>IFERROR(VLOOKUP(C56,挂机玩法规划!$K$2:$L$4,2,FALSE),0)</f>
        <v>0</v>
      </c>
    </row>
    <row r="57" spans="1:4" x14ac:dyDescent="0.2">
      <c r="A57" t="s">
        <v>253</v>
      </c>
      <c r="B57">
        <v>82303</v>
      </c>
      <c r="C57">
        <v>0</v>
      </c>
      <c r="D57">
        <f>IFERROR(VLOOKUP(C57,挂机玩法规划!$K$2:$L$4,2,FALSE),0)</f>
        <v>0</v>
      </c>
    </row>
    <row r="58" spans="1:4" x14ac:dyDescent="0.2">
      <c r="A58" t="s">
        <v>254</v>
      </c>
      <c r="B58">
        <v>84103</v>
      </c>
      <c r="C58">
        <v>0</v>
      </c>
      <c r="D58">
        <f>IFERROR(VLOOKUP(C58,挂机玩法规划!$K$2:$L$4,2,FALSE),0)</f>
        <v>0</v>
      </c>
    </row>
    <row r="59" spans="1:4" x14ac:dyDescent="0.2">
      <c r="A59" t="s">
        <v>255</v>
      </c>
      <c r="B59">
        <v>80601</v>
      </c>
      <c r="C59">
        <v>0</v>
      </c>
      <c r="D59">
        <f>IFERROR(VLOOKUP(C59,挂机玩法规划!$K$2:$L$4,2,FALSE),0)</f>
        <v>0</v>
      </c>
    </row>
    <row r="60" spans="1:4" x14ac:dyDescent="0.2">
      <c r="A60" t="s">
        <v>256</v>
      </c>
      <c r="B60">
        <v>82401</v>
      </c>
      <c r="C60">
        <v>0</v>
      </c>
      <c r="D60">
        <f>IFERROR(VLOOKUP(C60,挂机玩法规划!$K$2:$L$4,2,FALSE),0)</f>
        <v>0</v>
      </c>
    </row>
    <row r="61" spans="1:4" x14ac:dyDescent="0.2">
      <c r="A61" t="s">
        <v>257</v>
      </c>
      <c r="B61">
        <v>84201</v>
      </c>
      <c r="C61">
        <v>0</v>
      </c>
      <c r="D61">
        <f>IFERROR(VLOOKUP(C61,挂机玩法规划!$K$2:$L$4,2,FALSE),0)</f>
        <v>0</v>
      </c>
    </row>
    <row r="62" spans="1:4" x14ac:dyDescent="0.2">
      <c r="A62" t="s">
        <v>258</v>
      </c>
      <c r="B62">
        <v>80602</v>
      </c>
      <c r="C62">
        <v>0</v>
      </c>
      <c r="D62">
        <f>IFERROR(VLOOKUP(C62,挂机玩法规划!$K$2:$L$4,2,FALSE),0)</f>
        <v>0</v>
      </c>
    </row>
    <row r="63" spans="1:4" x14ac:dyDescent="0.2">
      <c r="A63" t="s">
        <v>259</v>
      </c>
      <c r="B63">
        <v>82402</v>
      </c>
      <c r="C63">
        <v>0</v>
      </c>
      <c r="D63">
        <f>IFERROR(VLOOKUP(C63,挂机玩法规划!$K$2:$L$4,2,FALSE),0)</f>
        <v>0</v>
      </c>
    </row>
    <row r="64" spans="1:4" x14ac:dyDescent="0.2">
      <c r="A64" t="s">
        <v>260</v>
      </c>
      <c r="B64">
        <v>84202</v>
      </c>
      <c r="C64">
        <v>0</v>
      </c>
      <c r="D64">
        <f>IFERROR(VLOOKUP(C64,挂机玩法规划!$K$2:$L$4,2,FALSE),0)</f>
        <v>0</v>
      </c>
    </row>
    <row r="65" spans="1:4" x14ac:dyDescent="0.2">
      <c r="A65" t="s">
        <v>261</v>
      </c>
      <c r="B65">
        <v>80603</v>
      </c>
      <c r="C65">
        <v>0</v>
      </c>
      <c r="D65">
        <f>IFERROR(VLOOKUP(C65,挂机玩法规划!$K$2:$L$4,2,FALSE),0)</f>
        <v>0</v>
      </c>
    </row>
    <row r="66" spans="1:4" x14ac:dyDescent="0.2">
      <c r="A66" t="s">
        <v>262</v>
      </c>
      <c r="B66">
        <v>82403</v>
      </c>
      <c r="C66">
        <v>0</v>
      </c>
      <c r="D66">
        <f>IFERROR(VLOOKUP(C66,挂机玩法规划!$K$2:$L$4,2,FALSE),0)</f>
        <v>0</v>
      </c>
    </row>
    <row r="67" spans="1:4" x14ac:dyDescent="0.2">
      <c r="A67" t="s">
        <v>263</v>
      </c>
      <c r="B67">
        <v>84203</v>
      </c>
      <c r="C67">
        <v>0</v>
      </c>
      <c r="D67">
        <f>IFERROR(VLOOKUP(C67,挂机玩法规划!$K$2:$L$4,2,FALSE),0)</f>
        <v>0</v>
      </c>
    </row>
    <row r="68" spans="1:4" x14ac:dyDescent="0.2">
      <c r="A68" t="s">
        <v>264</v>
      </c>
      <c r="B68">
        <v>80701</v>
      </c>
      <c r="C68">
        <v>0</v>
      </c>
      <c r="D68">
        <f>IFERROR(VLOOKUP(C68,挂机玩法规划!$K$2:$L$4,2,FALSE),0)</f>
        <v>0</v>
      </c>
    </row>
    <row r="69" spans="1:4" x14ac:dyDescent="0.2">
      <c r="A69" t="s">
        <v>265</v>
      </c>
      <c r="B69">
        <v>82501</v>
      </c>
      <c r="C69">
        <v>0</v>
      </c>
      <c r="D69">
        <f>IFERROR(VLOOKUP(C69,挂机玩法规划!$K$2:$L$4,2,FALSE),0)</f>
        <v>0</v>
      </c>
    </row>
    <row r="70" spans="1:4" x14ac:dyDescent="0.2">
      <c r="A70" t="s">
        <v>266</v>
      </c>
      <c r="B70">
        <v>84301</v>
      </c>
      <c r="C70">
        <v>0</v>
      </c>
      <c r="D70">
        <f>IFERROR(VLOOKUP(C70,挂机玩法规划!$K$2:$L$4,2,FALSE),0)</f>
        <v>0</v>
      </c>
    </row>
    <row r="71" spans="1:4" x14ac:dyDescent="0.2">
      <c r="A71" t="s">
        <v>267</v>
      </c>
      <c r="B71">
        <v>80702</v>
      </c>
      <c r="C71">
        <v>0</v>
      </c>
      <c r="D71">
        <f>IFERROR(VLOOKUP(C71,挂机玩法规划!$K$2:$L$4,2,FALSE),0)</f>
        <v>0</v>
      </c>
    </row>
    <row r="72" spans="1:4" x14ac:dyDescent="0.2">
      <c r="A72" t="s">
        <v>268</v>
      </c>
      <c r="B72">
        <v>82502</v>
      </c>
      <c r="C72">
        <v>0</v>
      </c>
      <c r="D72">
        <f>IFERROR(VLOOKUP(C72,挂机玩法规划!$K$2:$L$4,2,FALSE),0)</f>
        <v>0</v>
      </c>
    </row>
    <row r="73" spans="1:4" x14ac:dyDescent="0.2">
      <c r="A73" t="s">
        <v>269</v>
      </c>
      <c r="B73">
        <v>84302</v>
      </c>
      <c r="C73">
        <v>0</v>
      </c>
      <c r="D73">
        <f>IFERROR(VLOOKUP(C73,挂机玩法规划!$K$2:$L$4,2,FALSE),0)</f>
        <v>0</v>
      </c>
    </row>
    <row r="74" spans="1:4" x14ac:dyDescent="0.2">
      <c r="A74" t="s">
        <v>270</v>
      </c>
      <c r="B74">
        <v>80703</v>
      </c>
      <c r="C74">
        <v>0</v>
      </c>
      <c r="D74">
        <f>IFERROR(VLOOKUP(C74,挂机玩法规划!$K$2:$L$4,2,FALSE),0)</f>
        <v>0</v>
      </c>
    </row>
    <row r="75" spans="1:4" x14ac:dyDescent="0.2">
      <c r="A75" t="s">
        <v>271</v>
      </c>
      <c r="B75">
        <v>82503</v>
      </c>
      <c r="C75">
        <v>0</v>
      </c>
      <c r="D75">
        <f>IFERROR(VLOOKUP(C75,挂机玩法规划!$K$2:$L$4,2,FALSE),0)</f>
        <v>0</v>
      </c>
    </row>
    <row r="76" spans="1:4" x14ac:dyDescent="0.2">
      <c r="A76" t="s">
        <v>272</v>
      </c>
      <c r="B76">
        <v>84303</v>
      </c>
      <c r="C76">
        <v>0</v>
      </c>
      <c r="D76">
        <f>IFERROR(VLOOKUP(C76,挂机玩法规划!$K$2:$L$4,2,FALSE),0)</f>
        <v>0</v>
      </c>
    </row>
    <row r="77" spans="1:4" x14ac:dyDescent="0.2">
      <c r="A77" t="s">
        <v>273</v>
      </c>
      <c r="B77">
        <v>80801</v>
      </c>
      <c r="C77">
        <v>0</v>
      </c>
      <c r="D77">
        <f>IFERROR(VLOOKUP(C77,挂机玩法规划!$K$2:$L$4,2,FALSE),0)</f>
        <v>0</v>
      </c>
    </row>
    <row r="78" spans="1:4" x14ac:dyDescent="0.2">
      <c r="A78" t="s">
        <v>274</v>
      </c>
      <c r="B78">
        <v>82601</v>
      </c>
      <c r="C78">
        <v>0</v>
      </c>
      <c r="D78">
        <f>IFERROR(VLOOKUP(C78,挂机玩法规划!$K$2:$L$4,2,FALSE),0)</f>
        <v>0</v>
      </c>
    </row>
    <row r="79" spans="1:4" x14ac:dyDescent="0.2">
      <c r="A79" t="s">
        <v>275</v>
      </c>
      <c r="B79">
        <v>84401</v>
      </c>
      <c r="C79">
        <v>0</v>
      </c>
      <c r="D79">
        <f>IFERROR(VLOOKUP(C79,挂机玩法规划!$K$2:$L$4,2,FALSE),0)</f>
        <v>0</v>
      </c>
    </row>
    <row r="80" spans="1:4" x14ac:dyDescent="0.2">
      <c r="A80" t="s">
        <v>276</v>
      </c>
      <c r="B80">
        <v>80802</v>
      </c>
      <c r="C80">
        <v>0</v>
      </c>
      <c r="D80">
        <f>IFERROR(VLOOKUP(C80,挂机玩法规划!$K$2:$L$4,2,FALSE),0)</f>
        <v>0</v>
      </c>
    </row>
    <row r="81" spans="1:4" x14ac:dyDescent="0.2">
      <c r="A81" t="s">
        <v>277</v>
      </c>
      <c r="B81">
        <v>82602</v>
      </c>
      <c r="C81">
        <v>0</v>
      </c>
      <c r="D81">
        <f>IFERROR(VLOOKUP(C81,挂机玩法规划!$K$2:$L$4,2,FALSE),0)</f>
        <v>0</v>
      </c>
    </row>
    <row r="82" spans="1:4" x14ac:dyDescent="0.2">
      <c r="A82" t="s">
        <v>278</v>
      </c>
      <c r="B82">
        <v>84402</v>
      </c>
      <c r="C82">
        <v>0</v>
      </c>
      <c r="D82">
        <f>IFERROR(VLOOKUP(C82,挂机玩法规划!$K$2:$L$4,2,FALSE),0)</f>
        <v>0</v>
      </c>
    </row>
    <row r="83" spans="1:4" x14ac:dyDescent="0.2">
      <c r="A83" t="s">
        <v>279</v>
      </c>
      <c r="B83">
        <v>80803</v>
      </c>
      <c r="C83">
        <v>0</v>
      </c>
      <c r="D83">
        <f>IFERROR(VLOOKUP(C83,挂机玩法规划!$K$2:$L$4,2,FALSE),0)</f>
        <v>0</v>
      </c>
    </row>
    <row r="84" spans="1:4" x14ac:dyDescent="0.2">
      <c r="A84" t="s">
        <v>280</v>
      </c>
      <c r="B84">
        <v>82603</v>
      </c>
      <c r="C84">
        <v>0</v>
      </c>
      <c r="D84">
        <f>IFERROR(VLOOKUP(C84,挂机玩法规划!$K$2:$L$4,2,FALSE),0)</f>
        <v>0</v>
      </c>
    </row>
    <row r="85" spans="1:4" x14ac:dyDescent="0.2">
      <c r="A85" t="s">
        <v>281</v>
      </c>
      <c r="B85">
        <v>84403</v>
      </c>
      <c r="C85">
        <v>0</v>
      </c>
      <c r="D85">
        <f>IFERROR(VLOOKUP(C85,挂机玩法规划!$K$2:$L$4,2,FALSE),0)</f>
        <v>0</v>
      </c>
    </row>
    <row r="86" spans="1:4" x14ac:dyDescent="0.2">
      <c r="A86" t="s">
        <v>282</v>
      </c>
      <c r="B86">
        <v>80901</v>
      </c>
      <c r="C86">
        <v>0</v>
      </c>
      <c r="D86">
        <f>IFERROR(VLOOKUP(C86,挂机玩法规划!$K$2:$L$4,2,FALSE),0)</f>
        <v>0</v>
      </c>
    </row>
    <row r="87" spans="1:4" x14ac:dyDescent="0.2">
      <c r="A87" t="s">
        <v>283</v>
      </c>
      <c r="B87">
        <v>82701</v>
      </c>
      <c r="C87">
        <v>0</v>
      </c>
      <c r="D87">
        <f>IFERROR(VLOOKUP(C87,挂机玩法规划!$K$2:$L$4,2,FALSE),0)</f>
        <v>0</v>
      </c>
    </row>
    <row r="88" spans="1:4" x14ac:dyDescent="0.2">
      <c r="A88" t="s">
        <v>284</v>
      </c>
      <c r="B88">
        <v>84501</v>
      </c>
      <c r="C88">
        <v>0</v>
      </c>
      <c r="D88">
        <f>IFERROR(VLOOKUP(C88,挂机玩法规划!$K$2:$L$4,2,FALSE),0)</f>
        <v>0</v>
      </c>
    </row>
    <row r="89" spans="1:4" x14ac:dyDescent="0.2">
      <c r="A89" t="s">
        <v>285</v>
      </c>
      <c r="B89">
        <v>80902</v>
      </c>
      <c r="C89">
        <v>0</v>
      </c>
      <c r="D89">
        <f>IFERROR(VLOOKUP(C89,挂机玩法规划!$K$2:$L$4,2,FALSE),0)</f>
        <v>0</v>
      </c>
    </row>
    <row r="90" spans="1:4" x14ac:dyDescent="0.2">
      <c r="A90" t="s">
        <v>286</v>
      </c>
      <c r="B90">
        <v>82702</v>
      </c>
      <c r="C90">
        <v>0</v>
      </c>
      <c r="D90">
        <f>IFERROR(VLOOKUP(C90,挂机玩法规划!$K$2:$L$4,2,FALSE),0)</f>
        <v>0</v>
      </c>
    </row>
    <row r="91" spans="1:4" x14ac:dyDescent="0.2">
      <c r="A91" t="s">
        <v>287</v>
      </c>
      <c r="B91">
        <v>84502</v>
      </c>
      <c r="C91">
        <v>0</v>
      </c>
      <c r="D91">
        <f>IFERROR(VLOOKUP(C91,挂机玩法规划!$K$2:$L$4,2,FALSE),0)</f>
        <v>0</v>
      </c>
    </row>
    <row r="92" spans="1:4" x14ac:dyDescent="0.2">
      <c r="A92" t="s">
        <v>288</v>
      </c>
      <c r="B92">
        <v>80903</v>
      </c>
      <c r="C92">
        <v>0</v>
      </c>
      <c r="D92">
        <f>IFERROR(VLOOKUP(C92,挂机玩法规划!$K$2:$L$4,2,FALSE),0)</f>
        <v>0</v>
      </c>
    </row>
    <row r="93" spans="1:4" x14ac:dyDescent="0.2">
      <c r="A93" t="s">
        <v>289</v>
      </c>
      <c r="B93">
        <v>82703</v>
      </c>
      <c r="C93">
        <v>0</v>
      </c>
      <c r="D93">
        <f>IFERROR(VLOOKUP(C93,挂机玩法规划!$K$2:$L$4,2,FALSE),0)</f>
        <v>0</v>
      </c>
    </row>
    <row r="94" spans="1:4" x14ac:dyDescent="0.2">
      <c r="A94" t="s">
        <v>290</v>
      </c>
      <c r="B94">
        <v>84503</v>
      </c>
      <c r="C94">
        <v>0</v>
      </c>
      <c r="D94">
        <f>IFERROR(VLOOKUP(C94,挂机玩法规划!$K$2:$L$4,2,FALSE),0)</f>
        <v>0</v>
      </c>
    </row>
    <row r="95" spans="1:4" x14ac:dyDescent="0.2">
      <c r="A95" t="s">
        <v>291</v>
      </c>
      <c r="B95">
        <v>81001</v>
      </c>
      <c r="C95">
        <v>0</v>
      </c>
      <c r="D95">
        <f>IFERROR(VLOOKUP(C95,挂机玩法规划!$K$2:$L$4,2,FALSE),0)</f>
        <v>0</v>
      </c>
    </row>
    <row r="96" spans="1:4" x14ac:dyDescent="0.2">
      <c r="A96" t="s">
        <v>292</v>
      </c>
      <c r="B96">
        <v>82801</v>
      </c>
      <c r="C96">
        <v>0</v>
      </c>
      <c r="D96">
        <f>IFERROR(VLOOKUP(C96,挂机玩法规划!$K$2:$L$4,2,FALSE),0)</f>
        <v>0</v>
      </c>
    </row>
    <row r="97" spans="1:4" x14ac:dyDescent="0.2">
      <c r="A97" t="s">
        <v>293</v>
      </c>
      <c r="B97">
        <v>84601</v>
      </c>
      <c r="C97">
        <v>0</v>
      </c>
      <c r="D97">
        <f>IFERROR(VLOOKUP(C97,挂机玩法规划!$K$2:$L$4,2,FALSE),0)</f>
        <v>0</v>
      </c>
    </row>
    <row r="98" spans="1:4" x14ac:dyDescent="0.2">
      <c r="A98" t="s">
        <v>294</v>
      </c>
      <c r="B98">
        <v>81002</v>
      </c>
      <c r="C98">
        <v>0</v>
      </c>
      <c r="D98">
        <f>IFERROR(VLOOKUP(C98,挂机玩法规划!$K$2:$L$4,2,FALSE),0)</f>
        <v>0</v>
      </c>
    </row>
    <row r="99" spans="1:4" x14ac:dyDescent="0.2">
      <c r="A99" t="s">
        <v>295</v>
      </c>
      <c r="B99">
        <v>82802</v>
      </c>
      <c r="C99">
        <v>0</v>
      </c>
      <c r="D99">
        <f>IFERROR(VLOOKUP(C99,挂机玩法规划!$K$2:$L$4,2,FALSE),0)</f>
        <v>0</v>
      </c>
    </row>
    <row r="100" spans="1:4" x14ac:dyDescent="0.2">
      <c r="A100" t="s">
        <v>296</v>
      </c>
      <c r="B100">
        <v>84602</v>
      </c>
      <c r="C100">
        <v>0</v>
      </c>
      <c r="D100">
        <f>IFERROR(VLOOKUP(C100,挂机玩法规划!$K$2:$L$4,2,FALSE),0)</f>
        <v>0</v>
      </c>
    </row>
    <row r="101" spans="1:4" x14ac:dyDescent="0.2">
      <c r="A101" t="s">
        <v>297</v>
      </c>
      <c r="B101">
        <v>81003</v>
      </c>
      <c r="C101">
        <v>0</v>
      </c>
      <c r="D101">
        <f>IFERROR(VLOOKUP(C101,挂机玩法规划!$K$2:$L$4,2,FALSE),0)</f>
        <v>0</v>
      </c>
    </row>
    <row r="102" spans="1:4" x14ac:dyDescent="0.2">
      <c r="A102" t="s">
        <v>298</v>
      </c>
      <c r="B102">
        <v>82803</v>
      </c>
      <c r="C102">
        <v>0</v>
      </c>
      <c r="D102">
        <f>IFERROR(VLOOKUP(C102,挂机玩法规划!$K$2:$L$4,2,FALSE),0)</f>
        <v>0</v>
      </c>
    </row>
    <row r="103" spans="1:4" x14ac:dyDescent="0.2">
      <c r="A103" t="s">
        <v>299</v>
      </c>
      <c r="B103">
        <v>84603</v>
      </c>
      <c r="C103">
        <v>0</v>
      </c>
      <c r="D103">
        <f>IFERROR(VLOOKUP(C103,挂机玩法规划!$K$2:$L$4,2,FALSE),0)</f>
        <v>0</v>
      </c>
    </row>
    <row r="104" spans="1:4" x14ac:dyDescent="0.2">
      <c r="A104" t="s">
        <v>300</v>
      </c>
      <c r="B104">
        <v>81101</v>
      </c>
      <c r="C104">
        <v>0</v>
      </c>
      <c r="D104">
        <f>IFERROR(VLOOKUP(C104,挂机玩法规划!$K$2:$L$4,2,FALSE),0)</f>
        <v>0</v>
      </c>
    </row>
    <row r="105" spans="1:4" x14ac:dyDescent="0.2">
      <c r="A105" t="s">
        <v>301</v>
      </c>
      <c r="B105">
        <v>82901</v>
      </c>
      <c r="C105">
        <v>0</v>
      </c>
      <c r="D105">
        <f>IFERROR(VLOOKUP(C105,挂机玩法规划!$K$2:$L$4,2,FALSE),0)</f>
        <v>0</v>
      </c>
    </row>
    <row r="106" spans="1:4" x14ac:dyDescent="0.2">
      <c r="A106" t="s">
        <v>302</v>
      </c>
      <c r="B106">
        <v>84701</v>
      </c>
      <c r="C106">
        <v>0</v>
      </c>
      <c r="D106">
        <f>IFERROR(VLOOKUP(C106,挂机玩法规划!$K$2:$L$4,2,FALSE),0)</f>
        <v>0</v>
      </c>
    </row>
    <row r="107" spans="1:4" x14ac:dyDescent="0.2">
      <c r="A107" t="s">
        <v>303</v>
      </c>
      <c r="B107">
        <v>81102</v>
      </c>
      <c r="C107">
        <v>0</v>
      </c>
      <c r="D107">
        <f>IFERROR(VLOOKUP(C107,挂机玩法规划!$K$2:$L$4,2,FALSE),0)</f>
        <v>0</v>
      </c>
    </row>
    <row r="108" spans="1:4" x14ac:dyDescent="0.2">
      <c r="A108" t="s">
        <v>304</v>
      </c>
      <c r="B108">
        <v>82902</v>
      </c>
      <c r="C108">
        <v>0</v>
      </c>
      <c r="D108">
        <f>IFERROR(VLOOKUP(C108,挂机玩法规划!$K$2:$L$4,2,FALSE),0)</f>
        <v>0</v>
      </c>
    </row>
    <row r="109" spans="1:4" x14ac:dyDescent="0.2">
      <c r="A109" t="s">
        <v>305</v>
      </c>
      <c r="B109">
        <v>84702</v>
      </c>
      <c r="C109">
        <v>0</v>
      </c>
      <c r="D109">
        <f>IFERROR(VLOOKUP(C109,挂机玩法规划!$K$2:$L$4,2,FALSE),0)</f>
        <v>0</v>
      </c>
    </row>
    <row r="110" spans="1:4" x14ac:dyDescent="0.2">
      <c r="A110" t="s">
        <v>306</v>
      </c>
      <c r="B110">
        <v>81103</v>
      </c>
      <c r="C110">
        <v>0</v>
      </c>
      <c r="D110">
        <f>IFERROR(VLOOKUP(C110,挂机玩法规划!$K$2:$L$4,2,FALSE),0)</f>
        <v>0</v>
      </c>
    </row>
    <row r="111" spans="1:4" x14ac:dyDescent="0.2">
      <c r="A111" t="s">
        <v>307</v>
      </c>
      <c r="B111">
        <v>82903</v>
      </c>
      <c r="C111">
        <v>0</v>
      </c>
      <c r="D111">
        <f>IFERROR(VLOOKUP(C111,挂机玩法规划!$K$2:$L$4,2,FALSE),0)</f>
        <v>0</v>
      </c>
    </row>
    <row r="112" spans="1:4" x14ac:dyDescent="0.2">
      <c r="A112" t="s">
        <v>308</v>
      </c>
      <c r="B112">
        <v>84703</v>
      </c>
      <c r="C112">
        <v>0</v>
      </c>
      <c r="D112">
        <f>IFERROR(VLOOKUP(C112,挂机玩法规划!$K$2:$L$4,2,FALSE),0)</f>
        <v>0</v>
      </c>
    </row>
    <row r="113" spans="1:4" x14ac:dyDescent="0.2">
      <c r="A113" t="s">
        <v>309</v>
      </c>
      <c r="B113">
        <v>81201</v>
      </c>
      <c r="C113">
        <v>0</v>
      </c>
      <c r="D113">
        <f>IFERROR(VLOOKUP(C113,挂机玩法规划!$K$2:$L$4,2,FALSE),0)</f>
        <v>0</v>
      </c>
    </row>
    <row r="114" spans="1:4" x14ac:dyDescent="0.2">
      <c r="A114" t="s">
        <v>310</v>
      </c>
      <c r="B114">
        <v>83001</v>
      </c>
      <c r="C114">
        <v>0</v>
      </c>
      <c r="D114">
        <f>IFERROR(VLOOKUP(C114,挂机玩法规划!$K$2:$L$4,2,FALSE),0)</f>
        <v>0</v>
      </c>
    </row>
    <row r="115" spans="1:4" x14ac:dyDescent="0.2">
      <c r="A115" t="s">
        <v>311</v>
      </c>
      <c r="B115">
        <v>84801</v>
      </c>
      <c r="C115">
        <v>0</v>
      </c>
      <c r="D115">
        <f>IFERROR(VLOOKUP(C115,挂机玩法规划!$K$2:$L$4,2,FALSE),0)</f>
        <v>0</v>
      </c>
    </row>
    <row r="116" spans="1:4" x14ac:dyDescent="0.2">
      <c r="A116" t="s">
        <v>312</v>
      </c>
      <c r="B116">
        <v>81202</v>
      </c>
      <c r="C116">
        <v>0</v>
      </c>
      <c r="D116">
        <f>IFERROR(VLOOKUP(C116,挂机玩法规划!$K$2:$L$4,2,FALSE),0)</f>
        <v>0</v>
      </c>
    </row>
    <row r="117" spans="1:4" x14ac:dyDescent="0.2">
      <c r="A117" t="s">
        <v>313</v>
      </c>
      <c r="B117">
        <v>83002</v>
      </c>
      <c r="C117">
        <v>0</v>
      </c>
      <c r="D117">
        <f>IFERROR(VLOOKUP(C117,挂机玩法规划!$K$2:$L$4,2,FALSE),0)</f>
        <v>0</v>
      </c>
    </row>
    <row r="118" spans="1:4" x14ac:dyDescent="0.2">
      <c r="A118" t="s">
        <v>314</v>
      </c>
      <c r="B118">
        <v>84802</v>
      </c>
      <c r="C118">
        <v>0</v>
      </c>
      <c r="D118">
        <f>IFERROR(VLOOKUP(C118,挂机玩法规划!$K$2:$L$4,2,FALSE),0)</f>
        <v>0</v>
      </c>
    </row>
    <row r="119" spans="1:4" x14ac:dyDescent="0.2">
      <c r="A119" t="s">
        <v>315</v>
      </c>
      <c r="B119">
        <v>81203</v>
      </c>
      <c r="C119">
        <v>0</v>
      </c>
      <c r="D119">
        <f>IFERROR(VLOOKUP(C119,挂机玩法规划!$K$2:$L$4,2,FALSE),0)</f>
        <v>0</v>
      </c>
    </row>
    <row r="120" spans="1:4" x14ac:dyDescent="0.2">
      <c r="A120" t="s">
        <v>316</v>
      </c>
      <c r="B120">
        <v>83003</v>
      </c>
      <c r="C120">
        <v>0</v>
      </c>
      <c r="D120">
        <f>IFERROR(VLOOKUP(C120,挂机玩法规划!$K$2:$L$4,2,FALSE),0)</f>
        <v>0</v>
      </c>
    </row>
    <row r="121" spans="1:4" x14ac:dyDescent="0.2">
      <c r="A121" t="s">
        <v>317</v>
      </c>
      <c r="B121">
        <v>84803</v>
      </c>
      <c r="C121">
        <v>0</v>
      </c>
      <c r="D121">
        <f>IFERROR(VLOOKUP(C121,挂机玩法规划!$K$2:$L$4,2,FALSE),0)</f>
        <v>0</v>
      </c>
    </row>
    <row r="122" spans="1:4" x14ac:dyDescent="0.2">
      <c r="A122" t="s">
        <v>318</v>
      </c>
      <c r="B122">
        <v>81301</v>
      </c>
      <c r="C122">
        <v>0</v>
      </c>
      <c r="D122">
        <f>IFERROR(VLOOKUP(C122,挂机玩法规划!$K$2:$L$4,2,FALSE),0)</f>
        <v>0</v>
      </c>
    </row>
    <row r="123" spans="1:4" x14ac:dyDescent="0.2">
      <c r="A123" t="s">
        <v>319</v>
      </c>
      <c r="B123">
        <v>83101</v>
      </c>
      <c r="C123">
        <v>0</v>
      </c>
      <c r="D123">
        <f>IFERROR(VLOOKUP(C123,挂机玩法规划!$K$2:$L$4,2,FALSE),0)</f>
        <v>0</v>
      </c>
    </row>
    <row r="124" spans="1:4" x14ac:dyDescent="0.2">
      <c r="A124" t="s">
        <v>320</v>
      </c>
      <c r="B124">
        <v>84901</v>
      </c>
      <c r="C124">
        <v>0</v>
      </c>
      <c r="D124">
        <f>IFERROR(VLOOKUP(C124,挂机玩法规划!$K$2:$L$4,2,FALSE),0)</f>
        <v>0</v>
      </c>
    </row>
    <row r="125" spans="1:4" x14ac:dyDescent="0.2">
      <c r="A125" t="s">
        <v>321</v>
      </c>
      <c r="B125">
        <v>81302</v>
      </c>
      <c r="C125">
        <v>0</v>
      </c>
      <c r="D125">
        <f>IFERROR(VLOOKUP(C125,挂机玩法规划!$K$2:$L$4,2,FALSE),0)</f>
        <v>0</v>
      </c>
    </row>
    <row r="126" spans="1:4" x14ac:dyDescent="0.2">
      <c r="A126" t="s">
        <v>322</v>
      </c>
      <c r="B126">
        <v>83102</v>
      </c>
      <c r="C126">
        <v>0</v>
      </c>
      <c r="D126">
        <f>IFERROR(VLOOKUP(C126,挂机玩法规划!$K$2:$L$4,2,FALSE),0)</f>
        <v>0</v>
      </c>
    </row>
    <row r="127" spans="1:4" x14ac:dyDescent="0.2">
      <c r="A127" t="s">
        <v>323</v>
      </c>
      <c r="B127">
        <v>84902</v>
      </c>
      <c r="C127">
        <v>0</v>
      </c>
      <c r="D127">
        <f>IFERROR(VLOOKUP(C127,挂机玩法规划!$K$2:$L$4,2,FALSE),0)</f>
        <v>0</v>
      </c>
    </row>
    <row r="128" spans="1:4" x14ac:dyDescent="0.2">
      <c r="A128" t="s">
        <v>324</v>
      </c>
      <c r="B128">
        <v>81303</v>
      </c>
      <c r="C128">
        <v>0</v>
      </c>
      <c r="D128">
        <f>IFERROR(VLOOKUP(C128,挂机玩法规划!$K$2:$L$4,2,FALSE),0)</f>
        <v>0</v>
      </c>
    </row>
    <row r="129" spans="1:4" x14ac:dyDescent="0.2">
      <c r="A129" t="s">
        <v>325</v>
      </c>
      <c r="B129">
        <v>83103</v>
      </c>
      <c r="C129">
        <v>0</v>
      </c>
      <c r="D129">
        <f>IFERROR(VLOOKUP(C129,挂机玩法规划!$K$2:$L$4,2,FALSE),0)</f>
        <v>0</v>
      </c>
    </row>
    <row r="130" spans="1:4" x14ac:dyDescent="0.2">
      <c r="A130" t="s">
        <v>326</v>
      </c>
      <c r="B130">
        <v>84903</v>
      </c>
      <c r="C130">
        <v>0</v>
      </c>
      <c r="D130">
        <f>IFERROR(VLOOKUP(C130,挂机玩法规划!$K$2:$L$4,2,FALSE),0)</f>
        <v>0</v>
      </c>
    </row>
    <row r="131" spans="1:4" x14ac:dyDescent="0.2">
      <c r="A131" t="s">
        <v>327</v>
      </c>
      <c r="B131">
        <v>81401</v>
      </c>
      <c r="C131">
        <v>0</v>
      </c>
      <c r="D131">
        <f>IFERROR(VLOOKUP(C131,挂机玩法规划!$K$2:$L$4,2,FALSE),0)</f>
        <v>0</v>
      </c>
    </row>
    <row r="132" spans="1:4" x14ac:dyDescent="0.2">
      <c r="A132" t="s">
        <v>328</v>
      </c>
      <c r="B132">
        <v>83201</v>
      </c>
      <c r="C132">
        <v>0</v>
      </c>
      <c r="D132">
        <f>IFERROR(VLOOKUP(C132,挂机玩法规划!$K$2:$L$4,2,FALSE),0)</f>
        <v>0</v>
      </c>
    </row>
    <row r="133" spans="1:4" x14ac:dyDescent="0.2">
      <c r="A133" t="s">
        <v>329</v>
      </c>
      <c r="B133">
        <v>85001</v>
      </c>
      <c r="C133">
        <v>0</v>
      </c>
      <c r="D133">
        <f>IFERROR(VLOOKUP(C133,挂机玩法规划!$K$2:$L$4,2,FALSE),0)</f>
        <v>0</v>
      </c>
    </row>
    <row r="134" spans="1:4" x14ac:dyDescent="0.2">
      <c r="A134" t="s">
        <v>330</v>
      </c>
      <c r="B134">
        <v>81402</v>
      </c>
      <c r="C134">
        <v>0</v>
      </c>
      <c r="D134">
        <f>IFERROR(VLOOKUP(C134,挂机玩法规划!$K$2:$L$4,2,FALSE),0)</f>
        <v>0</v>
      </c>
    </row>
    <row r="135" spans="1:4" x14ac:dyDescent="0.2">
      <c r="A135" t="s">
        <v>331</v>
      </c>
      <c r="B135">
        <v>83202</v>
      </c>
      <c r="C135">
        <v>0</v>
      </c>
      <c r="D135">
        <f>IFERROR(VLOOKUP(C135,挂机玩法规划!$K$2:$L$4,2,FALSE),0)</f>
        <v>0</v>
      </c>
    </row>
    <row r="136" spans="1:4" x14ac:dyDescent="0.2">
      <c r="A136" t="s">
        <v>332</v>
      </c>
      <c r="B136">
        <v>85002</v>
      </c>
      <c r="C136">
        <v>0</v>
      </c>
      <c r="D136">
        <f>IFERROR(VLOOKUP(C136,挂机玩法规划!$K$2:$L$4,2,FALSE),0)</f>
        <v>0</v>
      </c>
    </row>
    <row r="137" spans="1:4" x14ac:dyDescent="0.2">
      <c r="A137" t="s">
        <v>333</v>
      </c>
      <c r="B137">
        <v>81403</v>
      </c>
      <c r="C137">
        <v>0</v>
      </c>
      <c r="D137">
        <f>IFERROR(VLOOKUP(C137,挂机玩法规划!$K$2:$L$4,2,FALSE),0)</f>
        <v>0</v>
      </c>
    </row>
    <row r="138" spans="1:4" x14ac:dyDescent="0.2">
      <c r="A138" t="s">
        <v>334</v>
      </c>
      <c r="B138">
        <v>83203</v>
      </c>
      <c r="C138">
        <v>0</v>
      </c>
      <c r="D138">
        <f>IFERROR(VLOOKUP(C138,挂机玩法规划!$K$2:$L$4,2,FALSE),0)</f>
        <v>0</v>
      </c>
    </row>
    <row r="139" spans="1:4" x14ac:dyDescent="0.2">
      <c r="A139" t="s">
        <v>335</v>
      </c>
      <c r="B139">
        <v>85003</v>
      </c>
      <c r="C139">
        <v>0</v>
      </c>
      <c r="D139">
        <f>IFERROR(VLOOKUP(C139,挂机玩法规划!$K$2:$L$4,2,FALSE),0)</f>
        <v>0</v>
      </c>
    </row>
    <row r="140" spans="1:4" x14ac:dyDescent="0.2">
      <c r="A140" t="s">
        <v>336</v>
      </c>
      <c r="B140">
        <v>81501</v>
      </c>
      <c r="C140">
        <v>0</v>
      </c>
      <c r="D140">
        <f>IFERROR(VLOOKUP(C140,挂机玩法规划!$K$2:$L$4,2,FALSE),0)</f>
        <v>0</v>
      </c>
    </row>
    <row r="141" spans="1:4" x14ac:dyDescent="0.2">
      <c r="A141" t="s">
        <v>337</v>
      </c>
      <c r="B141">
        <v>83301</v>
      </c>
      <c r="C141">
        <v>0</v>
      </c>
      <c r="D141">
        <f>IFERROR(VLOOKUP(C141,挂机玩法规划!$K$2:$L$4,2,FALSE),0)</f>
        <v>0</v>
      </c>
    </row>
    <row r="142" spans="1:4" x14ac:dyDescent="0.2">
      <c r="A142" t="s">
        <v>338</v>
      </c>
      <c r="B142">
        <v>85101</v>
      </c>
      <c r="C142">
        <v>0</v>
      </c>
      <c r="D142">
        <f>IFERROR(VLOOKUP(C142,挂机玩法规划!$K$2:$L$4,2,FALSE),0)</f>
        <v>0</v>
      </c>
    </row>
    <row r="143" spans="1:4" x14ac:dyDescent="0.2">
      <c r="A143" t="s">
        <v>339</v>
      </c>
      <c r="B143">
        <v>81502</v>
      </c>
      <c r="C143">
        <v>0</v>
      </c>
      <c r="D143">
        <f>IFERROR(VLOOKUP(C143,挂机玩法规划!$K$2:$L$4,2,FALSE),0)</f>
        <v>0</v>
      </c>
    </row>
    <row r="144" spans="1:4" x14ac:dyDescent="0.2">
      <c r="A144" t="s">
        <v>340</v>
      </c>
      <c r="B144">
        <v>83302</v>
      </c>
      <c r="C144">
        <v>0</v>
      </c>
      <c r="D144">
        <f>IFERROR(VLOOKUP(C144,挂机玩法规划!$K$2:$L$4,2,FALSE),0)</f>
        <v>0</v>
      </c>
    </row>
    <row r="145" spans="1:4" x14ac:dyDescent="0.2">
      <c r="A145" t="s">
        <v>341</v>
      </c>
      <c r="B145">
        <v>85102</v>
      </c>
      <c r="C145">
        <v>0</v>
      </c>
      <c r="D145">
        <f>IFERROR(VLOOKUP(C145,挂机玩法规划!$K$2:$L$4,2,FALSE),0)</f>
        <v>0</v>
      </c>
    </row>
    <row r="146" spans="1:4" x14ac:dyDescent="0.2">
      <c r="A146" t="s">
        <v>342</v>
      </c>
      <c r="B146">
        <v>81503</v>
      </c>
      <c r="C146">
        <v>0</v>
      </c>
      <c r="D146">
        <f>IFERROR(VLOOKUP(C146,挂机玩法规划!$K$2:$L$4,2,FALSE),0)</f>
        <v>0</v>
      </c>
    </row>
    <row r="147" spans="1:4" x14ac:dyDescent="0.2">
      <c r="A147" t="s">
        <v>343</v>
      </c>
      <c r="B147">
        <v>83303</v>
      </c>
      <c r="C147">
        <v>0</v>
      </c>
      <c r="D147">
        <f>IFERROR(VLOOKUP(C147,挂机玩法规划!$K$2:$L$4,2,FALSE),0)</f>
        <v>0</v>
      </c>
    </row>
    <row r="148" spans="1:4" x14ac:dyDescent="0.2">
      <c r="A148" t="s">
        <v>344</v>
      </c>
      <c r="B148">
        <v>85103</v>
      </c>
      <c r="C148">
        <v>0</v>
      </c>
      <c r="D148">
        <f>IFERROR(VLOOKUP(C148,挂机玩法规划!$K$2:$L$4,2,FALSE),0)</f>
        <v>0</v>
      </c>
    </row>
    <row r="149" spans="1:4" x14ac:dyDescent="0.2">
      <c r="A149" t="s">
        <v>345</v>
      </c>
      <c r="B149">
        <v>81601</v>
      </c>
      <c r="C149">
        <v>0</v>
      </c>
      <c r="D149">
        <f>IFERROR(VLOOKUP(C149,挂机玩法规划!$K$2:$L$4,2,FALSE),0)</f>
        <v>0</v>
      </c>
    </row>
    <row r="150" spans="1:4" x14ac:dyDescent="0.2">
      <c r="A150" t="s">
        <v>346</v>
      </c>
      <c r="B150">
        <v>83401</v>
      </c>
      <c r="C150">
        <v>0</v>
      </c>
      <c r="D150">
        <f>IFERROR(VLOOKUP(C150,挂机玩法规划!$K$2:$L$4,2,FALSE),0)</f>
        <v>0</v>
      </c>
    </row>
    <row r="151" spans="1:4" x14ac:dyDescent="0.2">
      <c r="A151" t="s">
        <v>347</v>
      </c>
      <c r="B151">
        <v>85201</v>
      </c>
      <c r="C151">
        <v>0</v>
      </c>
      <c r="D151">
        <f>IFERROR(VLOOKUP(C151,挂机玩法规划!$K$2:$L$4,2,FALSE),0)</f>
        <v>0</v>
      </c>
    </row>
    <row r="152" spans="1:4" x14ac:dyDescent="0.2">
      <c r="A152" t="s">
        <v>348</v>
      </c>
      <c r="B152">
        <v>81602</v>
      </c>
      <c r="C152">
        <v>0</v>
      </c>
      <c r="D152">
        <f>IFERROR(VLOOKUP(C152,挂机玩法规划!$K$2:$L$4,2,FALSE),0)</f>
        <v>0</v>
      </c>
    </row>
    <row r="153" spans="1:4" x14ac:dyDescent="0.2">
      <c r="A153" t="s">
        <v>349</v>
      </c>
      <c r="B153">
        <v>83402</v>
      </c>
      <c r="C153">
        <v>0</v>
      </c>
      <c r="D153">
        <f>IFERROR(VLOOKUP(C153,挂机玩法规划!$K$2:$L$4,2,FALSE),0)</f>
        <v>0</v>
      </c>
    </row>
    <row r="154" spans="1:4" x14ac:dyDescent="0.2">
      <c r="A154" t="s">
        <v>350</v>
      </c>
      <c r="B154">
        <v>85202</v>
      </c>
      <c r="C154">
        <v>0</v>
      </c>
      <c r="D154">
        <f>IFERROR(VLOOKUP(C154,挂机玩法规划!$K$2:$L$4,2,FALSE),0)</f>
        <v>0</v>
      </c>
    </row>
    <row r="155" spans="1:4" x14ac:dyDescent="0.2">
      <c r="A155" t="s">
        <v>351</v>
      </c>
      <c r="B155">
        <v>81603</v>
      </c>
      <c r="C155">
        <v>0</v>
      </c>
      <c r="D155">
        <f>IFERROR(VLOOKUP(C155,挂机玩法规划!$K$2:$L$4,2,FALSE),0)</f>
        <v>0</v>
      </c>
    </row>
    <row r="156" spans="1:4" x14ac:dyDescent="0.2">
      <c r="A156" t="s">
        <v>352</v>
      </c>
      <c r="B156">
        <v>83403</v>
      </c>
      <c r="C156">
        <v>0</v>
      </c>
      <c r="D156">
        <f>IFERROR(VLOOKUP(C156,挂机玩法规划!$K$2:$L$4,2,FALSE),0)</f>
        <v>0</v>
      </c>
    </row>
    <row r="157" spans="1:4" x14ac:dyDescent="0.2">
      <c r="A157" t="s">
        <v>353</v>
      </c>
      <c r="B157">
        <v>85203</v>
      </c>
      <c r="C157">
        <v>0</v>
      </c>
      <c r="D157">
        <f>IFERROR(VLOOKUP(C157,挂机玩法规划!$K$2:$L$4,2,FALSE),0)</f>
        <v>0</v>
      </c>
    </row>
    <row r="158" spans="1:4" x14ac:dyDescent="0.2">
      <c r="A158" t="s">
        <v>354</v>
      </c>
      <c r="B158">
        <v>81701</v>
      </c>
      <c r="C158">
        <v>0</v>
      </c>
      <c r="D158">
        <f>IFERROR(VLOOKUP(C158,挂机玩法规划!$K$2:$L$4,2,FALSE),0)</f>
        <v>0</v>
      </c>
    </row>
    <row r="159" spans="1:4" x14ac:dyDescent="0.2">
      <c r="A159" t="s">
        <v>355</v>
      </c>
      <c r="B159">
        <v>83501</v>
      </c>
      <c r="C159">
        <v>0</v>
      </c>
      <c r="D159">
        <f>IFERROR(VLOOKUP(C159,挂机玩法规划!$K$2:$L$4,2,FALSE),0)</f>
        <v>0</v>
      </c>
    </row>
    <row r="160" spans="1:4" x14ac:dyDescent="0.2">
      <c r="A160" t="s">
        <v>356</v>
      </c>
      <c r="B160">
        <v>85301</v>
      </c>
      <c r="C160">
        <v>0</v>
      </c>
      <c r="D160">
        <f>IFERROR(VLOOKUP(C160,挂机玩法规划!$K$2:$L$4,2,FALSE),0)</f>
        <v>0</v>
      </c>
    </row>
    <row r="161" spans="1:4" x14ac:dyDescent="0.2">
      <c r="A161" t="s">
        <v>357</v>
      </c>
      <c r="B161">
        <v>81702</v>
      </c>
      <c r="C161">
        <v>0</v>
      </c>
      <c r="D161">
        <f>IFERROR(VLOOKUP(C161,挂机玩法规划!$K$2:$L$4,2,FALSE),0)</f>
        <v>0</v>
      </c>
    </row>
    <row r="162" spans="1:4" x14ac:dyDescent="0.2">
      <c r="A162" t="s">
        <v>358</v>
      </c>
      <c r="B162">
        <v>83502</v>
      </c>
      <c r="C162">
        <v>0</v>
      </c>
      <c r="D162">
        <f>IFERROR(VLOOKUP(C162,挂机玩法规划!$K$2:$L$4,2,FALSE),0)</f>
        <v>0</v>
      </c>
    </row>
    <row r="163" spans="1:4" x14ac:dyDescent="0.2">
      <c r="A163" t="s">
        <v>359</v>
      </c>
      <c r="B163">
        <v>85302</v>
      </c>
      <c r="C163">
        <v>0</v>
      </c>
      <c r="D163">
        <f>IFERROR(VLOOKUP(C163,挂机玩法规划!$K$2:$L$4,2,FALSE),0)</f>
        <v>0</v>
      </c>
    </row>
    <row r="164" spans="1:4" x14ac:dyDescent="0.2">
      <c r="A164" t="s">
        <v>360</v>
      </c>
      <c r="B164">
        <v>81703</v>
      </c>
      <c r="C164">
        <v>0</v>
      </c>
      <c r="D164">
        <f>IFERROR(VLOOKUP(C164,挂机玩法规划!$K$2:$L$4,2,FALSE),0)</f>
        <v>0</v>
      </c>
    </row>
    <row r="165" spans="1:4" x14ac:dyDescent="0.2">
      <c r="A165" t="s">
        <v>361</v>
      </c>
      <c r="B165">
        <v>83503</v>
      </c>
      <c r="C165">
        <v>0</v>
      </c>
      <c r="D165">
        <f>IFERROR(VLOOKUP(C165,挂机玩法规划!$K$2:$L$4,2,FALSE),0)</f>
        <v>0</v>
      </c>
    </row>
    <row r="166" spans="1:4" x14ac:dyDescent="0.2">
      <c r="A166" t="s">
        <v>362</v>
      </c>
      <c r="B166">
        <v>85303</v>
      </c>
      <c r="C166">
        <v>0</v>
      </c>
      <c r="D166">
        <f>IFERROR(VLOOKUP(C166,挂机玩法规划!$K$2:$L$4,2,FALSE),0)</f>
        <v>0</v>
      </c>
    </row>
    <row r="167" spans="1:4" x14ac:dyDescent="0.2">
      <c r="A167" t="s">
        <v>363</v>
      </c>
      <c r="B167">
        <v>81801</v>
      </c>
      <c r="C167">
        <v>0</v>
      </c>
      <c r="D167">
        <f>IFERROR(VLOOKUP(C167,挂机玩法规划!$K$2:$L$4,2,FALSE),0)</f>
        <v>0</v>
      </c>
    </row>
    <row r="168" spans="1:4" x14ac:dyDescent="0.2">
      <c r="A168" t="s">
        <v>364</v>
      </c>
      <c r="B168">
        <v>83601</v>
      </c>
      <c r="C168">
        <v>0</v>
      </c>
      <c r="D168">
        <f>IFERROR(VLOOKUP(C168,挂机玩法规划!$K$2:$L$4,2,FALSE),0)</f>
        <v>0</v>
      </c>
    </row>
    <row r="169" spans="1:4" x14ac:dyDescent="0.2">
      <c r="A169" t="s">
        <v>365</v>
      </c>
      <c r="B169">
        <v>85401</v>
      </c>
      <c r="C169">
        <v>0</v>
      </c>
      <c r="D169">
        <f>IFERROR(VLOOKUP(C169,挂机玩法规划!$K$2:$L$4,2,FALSE),0)</f>
        <v>0</v>
      </c>
    </row>
    <row r="170" spans="1:4" x14ac:dyDescent="0.2">
      <c r="A170" t="s">
        <v>366</v>
      </c>
      <c r="B170">
        <v>81802</v>
      </c>
      <c r="C170">
        <v>0</v>
      </c>
      <c r="D170">
        <f>IFERROR(VLOOKUP(C170,挂机玩法规划!$K$2:$L$4,2,FALSE),0)</f>
        <v>0</v>
      </c>
    </row>
    <row r="171" spans="1:4" x14ac:dyDescent="0.2">
      <c r="A171" t="s">
        <v>367</v>
      </c>
      <c r="B171">
        <v>83602</v>
      </c>
      <c r="C171">
        <v>0</v>
      </c>
      <c r="D171">
        <f>IFERROR(VLOOKUP(C171,挂机玩法规划!$K$2:$L$4,2,FALSE),0)</f>
        <v>0</v>
      </c>
    </row>
    <row r="172" spans="1:4" x14ac:dyDescent="0.2">
      <c r="A172" t="s">
        <v>368</v>
      </c>
      <c r="B172">
        <v>85402</v>
      </c>
      <c r="C172">
        <v>0</v>
      </c>
      <c r="D172">
        <f>IFERROR(VLOOKUP(C172,挂机玩法规划!$K$2:$L$4,2,FALSE),0)</f>
        <v>0</v>
      </c>
    </row>
    <row r="173" spans="1:4" x14ac:dyDescent="0.2">
      <c r="A173" t="s">
        <v>369</v>
      </c>
      <c r="B173">
        <v>81803</v>
      </c>
      <c r="C173">
        <v>0</v>
      </c>
      <c r="D173">
        <f>IFERROR(VLOOKUP(C173,挂机玩法规划!$K$2:$L$4,2,FALSE),0)</f>
        <v>0</v>
      </c>
    </row>
    <row r="174" spans="1:4" x14ac:dyDescent="0.2">
      <c r="A174" t="s">
        <v>370</v>
      </c>
      <c r="B174">
        <v>83603</v>
      </c>
      <c r="C174">
        <v>0</v>
      </c>
      <c r="D174">
        <f>IFERROR(VLOOKUP(C174,挂机玩法规划!$K$2:$L$4,2,FALSE),0)</f>
        <v>0</v>
      </c>
    </row>
    <row r="175" spans="1:4" x14ac:dyDescent="0.2">
      <c r="A175" t="s">
        <v>371</v>
      </c>
      <c r="B175">
        <v>85403</v>
      </c>
      <c r="C175">
        <v>0</v>
      </c>
      <c r="D175">
        <f>IFERROR(VLOOKUP(C175,挂机玩法规划!$K$2:$L$4,2,FALSE),0)</f>
        <v>0</v>
      </c>
    </row>
    <row r="176" spans="1:4" x14ac:dyDescent="0.2">
      <c r="C176">
        <v>0</v>
      </c>
      <c r="D176">
        <f>IFERROR(VLOOKUP(C176,挂机玩法规划!$K$2:$L$4,2,FALSE),0)</f>
        <v>0</v>
      </c>
    </row>
    <row r="177" spans="1:4" x14ac:dyDescent="0.2">
      <c r="A177" t="s">
        <v>372</v>
      </c>
      <c r="B177" t="s">
        <v>211</v>
      </c>
      <c r="C177">
        <v>0</v>
      </c>
      <c r="D177">
        <f>IFERROR(VLOOKUP(C177,挂机玩法规划!$K$2:$L$4,2,FALSE),0)</f>
        <v>0</v>
      </c>
    </row>
    <row r="178" spans="1:4" x14ac:dyDescent="0.2">
      <c r="A178" t="s">
        <v>373</v>
      </c>
      <c r="B178">
        <v>91001</v>
      </c>
      <c r="C178">
        <v>0</v>
      </c>
      <c r="D178">
        <f>IFERROR(VLOOKUP(C178,挂机玩法规划!$K$2:$L$4,2,FALSE),0)</f>
        <v>0</v>
      </c>
    </row>
    <row r="179" spans="1:4" x14ac:dyDescent="0.2">
      <c r="A179" t="s">
        <v>374</v>
      </c>
      <c r="B179">
        <v>91002</v>
      </c>
      <c r="C179">
        <v>0</v>
      </c>
      <c r="D179">
        <f>IFERROR(VLOOKUP(C179,挂机玩法规划!$K$2:$L$4,2,FALSE),0)</f>
        <v>0</v>
      </c>
    </row>
    <row r="180" spans="1:4" x14ac:dyDescent="0.2">
      <c r="A180" t="s">
        <v>375</v>
      </c>
      <c r="B180">
        <v>91003</v>
      </c>
      <c r="C180">
        <v>0</v>
      </c>
      <c r="D180">
        <f>IFERROR(VLOOKUP(C180,挂机玩法规划!$K$2:$L$4,2,FALSE),0)</f>
        <v>0</v>
      </c>
    </row>
    <row r="181" spans="1:4" x14ac:dyDescent="0.2">
      <c r="A181" t="s">
        <v>376</v>
      </c>
      <c r="B181">
        <v>91004</v>
      </c>
      <c r="C181">
        <v>0</v>
      </c>
      <c r="D181">
        <f>IFERROR(VLOOKUP(C181,挂机玩法规划!$K$2:$L$4,2,FALSE),0)</f>
        <v>0</v>
      </c>
    </row>
    <row r="182" spans="1:4" x14ac:dyDescent="0.2">
      <c r="A182" t="s">
        <v>377</v>
      </c>
      <c r="B182">
        <v>91005</v>
      </c>
      <c r="C182">
        <v>0</v>
      </c>
      <c r="D182">
        <f>IFERROR(VLOOKUP(C182,挂机玩法规划!$K$2:$L$4,2,FALSE),0)</f>
        <v>0</v>
      </c>
    </row>
    <row r="183" spans="1:4" x14ac:dyDescent="0.2">
      <c r="A183" t="s">
        <v>378</v>
      </c>
      <c r="B183">
        <v>91006</v>
      </c>
      <c r="C183">
        <v>0</v>
      </c>
      <c r="D183">
        <f>IFERROR(VLOOKUP(C183,挂机玩法规划!$K$2:$L$4,2,FALSE),0)</f>
        <v>0</v>
      </c>
    </row>
    <row r="184" spans="1:4" x14ac:dyDescent="0.2">
      <c r="A184" t="s">
        <v>379</v>
      </c>
      <c r="B184">
        <v>91101</v>
      </c>
      <c r="C184">
        <v>0</v>
      </c>
      <c r="D184">
        <f>IFERROR(VLOOKUP(C184,挂机玩法规划!$K$2:$L$4,2,FALSE),0)</f>
        <v>0</v>
      </c>
    </row>
    <row r="185" spans="1:4" x14ac:dyDescent="0.2">
      <c r="A185" t="s">
        <v>380</v>
      </c>
      <c r="B185">
        <v>91102</v>
      </c>
      <c r="C185">
        <v>0</v>
      </c>
      <c r="D185">
        <f>IFERROR(VLOOKUP(C185,挂机玩法规划!$K$2:$L$4,2,FALSE),0)</f>
        <v>0</v>
      </c>
    </row>
    <row r="186" spans="1:4" x14ac:dyDescent="0.2">
      <c r="A186" t="s">
        <v>381</v>
      </c>
      <c r="B186">
        <v>91103</v>
      </c>
      <c r="C186">
        <v>0</v>
      </c>
      <c r="D186">
        <f>IFERROR(VLOOKUP(C186,挂机玩法规划!$K$2:$L$4,2,FALSE),0)</f>
        <v>0</v>
      </c>
    </row>
    <row r="187" spans="1:4" x14ac:dyDescent="0.2">
      <c r="A187" t="s">
        <v>382</v>
      </c>
      <c r="B187">
        <v>91104</v>
      </c>
      <c r="C187">
        <v>0</v>
      </c>
      <c r="D187">
        <f>IFERROR(VLOOKUP(C187,挂机玩法规划!$K$2:$L$4,2,FALSE),0)</f>
        <v>0</v>
      </c>
    </row>
    <row r="188" spans="1:4" x14ac:dyDescent="0.2">
      <c r="A188" t="s">
        <v>383</v>
      </c>
      <c r="B188">
        <v>91105</v>
      </c>
      <c r="C188">
        <v>0</v>
      </c>
      <c r="D188">
        <f>IFERROR(VLOOKUP(C188,挂机玩法规划!$K$2:$L$4,2,FALSE),0)</f>
        <v>0</v>
      </c>
    </row>
    <row r="189" spans="1:4" x14ac:dyDescent="0.2">
      <c r="A189" t="s">
        <v>384</v>
      </c>
      <c r="B189">
        <v>91106</v>
      </c>
      <c r="C189">
        <v>0</v>
      </c>
      <c r="D189">
        <f>IFERROR(VLOOKUP(C189,挂机玩法规划!$K$2:$L$4,2,FALSE),0)</f>
        <v>0</v>
      </c>
    </row>
    <row r="190" spans="1:4" x14ac:dyDescent="0.2">
      <c r="A190" t="s">
        <v>385</v>
      </c>
      <c r="B190">
        <v>91201</v>
      </c>
      <c r="C190">
        <v>0</v>
      </c>
      <c r="D190">
        <f>IFERROR(VLOOKUP(C190,挂机玩法规划!$K$2:$L$4,2,FALSE),0)</f>
        <v>0</v>
      </c>
    </row>
    <row r="191" spans="1:4" x14ac:dyDescent="0.2">
      <c r="A191" t="s">
        <v>386</v>
      </c>
      <c r="B191">
        <v>91202</v>
      </c>
      <c r="C191">
        <v>0</v>
      </c>
      <c r="D191">
        <f>IFERROR(VLOOKUP(C191,挂机玩法规划!$K$2:$L$4,2,FALSE),0)</f>
        <v>0</v>
      </c>
    </row>
    <row r="192" spans="1:4" x14ac:dyDescent="0.2">
      <c r="A192" t="s">
        <v>387</v>
      </c>
      <c r="B192">
        <v>91203</v>
      </c>
      <c r="C192">
        <v>0</v>
      </c>
      <c r="D192">
        <f>IFERROR(VLOOKUP(C192,挂机玩法规划!$K$2:$L$4,2,FALSE),0)</f>
        <v>0</v>
      </c>
    </row>
    <row r="193" spans="1:4" x14ac:dyDescent="0.2">
      <c r="A193" t="s">
        <v>388</v>
      </c>
      <c r="B193">
        <v>91204</v>
      </c>
      <c r="C193">
        <v>0</v>
      </c>
      <c r="D193">
        <f>IFERROR(VLOOKUP(C193,挂机玩法规划!$K$2:$L$4,2,FALSE),0)</f>
        <v>0</v>
      </c>
    </row>
    <row r="194" spans="1:4" x14ac:dyDescent="0.2">
      <c r="A194" t="s">
        <v>389</v>
      </c>
      <c r="B194">
        <v>91205</v>
      </c>
      <c r="C194">
        <v>0</v>
      </c>
      <c r="D194">
        <f>IFERROR(VLOOKUP(C194,挂机玩法规划!$K$2:$L$4,2,FALSE),0)</f>
        <v>0</v>
      </c>
    </row>
    <row r="195" spans="1:4" x14ac:dyDescent="0.2">
      <c r="A195" t="s">
        <v>390</v>
      </c>
      <c r="B195">
        <v>91206</v>
      </c>
      <c r="C195">
        <v>0</v>
      </c>
      <c r="D195">
        <f>IFERROR(VLOOKUP(C195,挂机玩法规划!$K$2:$L$4,2,FALSE),0)</f>
        <v>0</v>
      </c>
    </row>
    <row r="196" spans="1:4" x14ac:dyDescent="0.2">
      <c r="A196" t="s">
        <v>391</v>
      </c>
      <c r="B196">
        <v>92001</v>
      </c>
      <c r="C196">
        <v>0</v>
      </c>
      <c r="D196">
        <f>IFERROR(VLOOKUP(C196,挂机玩法规划!$K$2:$L$4,2,FALSE),0)</f>
        <v>0</v>
      </c>
    </row>
    <row r="197" spans="1:4" x14ac:dyDescent="0.2">
      <c r="A197" t="s">
        <v>392</v>
      </c>
      <c r="B197">
        <v>92002</v>
      </c>
      <c r="C197">
        <v>0</v>
      </c>
      <c r="D197">
        <f>IFERROR(VLOOKUP(C197,挂机玩法规划!$K$2:$L$4,2,FALSE),0)</f>
        <v>0</v>
      </c>
    </row>
    <row r="198" spans="1:4" x14ac:dyDescent="0.2">
      <c r="A198" t="s">
        <v>393</v>
      </c>
      <c r="B198">
        <v>92003</v>
      </c>
      <c r="C198">
        <v>0</v>
      </c>
      <c r="D198">
        <f>IFERROR(VLOOKUP(C198,挂机玩法规划!$K$2:$L$4,2,FALSE),0)</f>
        <v>0</v>
      </c>
    </row>
    <row r="199" spans="1:4" x14ac:dyDescent="0.2">
      <c r="A199" t="s">
        <v>394</v>
      </c>
      <c r="B199">
        <v>92004</v>
      </c>
      <c r="C199">
        <v>0</v>
      </c>
      <c r="D199">
        <f>IFERROR(VLOOKUP(C199,挂机玩法规划!$K$2:$L$4,2,FALSE),0)</f>
        <v>0</v>
      </c>
    </row>
    <row r="200" spans="1:4" x14ac:dyDescent="0.2">
      <c r="A200" t="s">
        <v>395</v>
      </c>
      <c r="B200">
        <v>92005</v>
      </c>
      <c r="C200">
        <v>0</v>
      </c>
      <c r="D200">
        <f>IFERROR(VLOOKUP(C200,挂机玩法规划!$K$2:$L$4,2,FALSE),0)</f>
        <v>0</v>
      </c>
    </row>
    <row r="201" spans="1:4" x14ac:dyDescent="0.2">
      <c r="A201" t="s">
        <v>396</v>
      </c>
      <c r="B201">
        <v>92006</v>
      </c>
      <c r="C201">
        <v>0</v>
      </c>
      <c r="D201">
        <f>IFERROR(VLOOKUP(C201,挂机玩法规划!$K$2:$L$4,2,FALSE),0)</f>
        <v>0</v>
      </c>
    </row>
    <row r="202" spans="1:4" x14ac:dyDescent="0.2">
      <c r="A202" t="s">
        <v>397</v>
      </c>
      <c r="B202">
        <v>92101</v>
      </c>
      <c r="C202">
        <v>0</v>
      </c>
      <c r="D202">
        <f>IFERROR(VLOOKUP(C202,挂机玩法规划!$K$2:$L$4,2,FALSE),0)</f>
        <v>0</v>
      </c>
    </row>
    <row r="203" spans="1:4" x14ac:dyDescent="0.2">
      <c r="A203" t="s">
        <v>398</v>
      </c>
      <c r="B203">
        <v>92102</v>
      </c>
      <c r="C203">
        <v>0</v>
      </c>
      <c r="D203">
        <f>IFERROR(VLOOKUP(C203,挂机玩法规划!$K$2:$L$4,2,FALSE),0)</f>
        <v>0</v>
      </c>
    </row>
    <row r="204" spans="1:4" x14ac:dyDescent="0.2">
      <c r="A204" t="s">
        <v>399</v>
      </c>
      <c r="B204">
        <v>92103</v>
      </c>
      <c r="C204">
        <v>0</v>
      </c>
      <c r="D204">
        <f>IFERROR(VLOOKUP(C204,挂机玩法规划!$K$2:$L$4,2,FALSE),0)</f>
        <v>0</v>
      </c>
    </row>
    <row r="205" spans="1:4" x14ac:dyDescent="0.2">
      <c r="A205" t="s">
        <v>400</v>
      </c>
      <c r="B205">
        <v>92104</v>
      </c>
      <c r="C205">
        <v>0</v>
      </c>
      <c r="D205">
        <f>IFERROR(VLOOKUP(C205,挂机玩法规划!$K$2:$L$4,2,FALSE),0)</f>
        <v>0</v>
      </c>
    </row>
    <row r="206" spans="1:4" x14ac:dyDescent="0.2">
      <c r="A206" t="s">
        <v>401</v>
      </c>
      <c r="B206">
        <v>92105</v>
      </c>
      <c r="C206">
        <v>0</v>
      </c>
      <c r="D206">
        <f>IFERROR(VLOOKUP(C206,挂机玩法规划!$K$2:$L$4,2,FALSE),0)</f>
        <v>0</v>
      </c>
    </row>
    <row r="207" spans="1:4" x14ac:dyDescent="0.2">
      <c r="A207" t="s">
        <v>402</v>
      </c>
      <c r="B207">
        <v>92106</v>
      </c>
      <c r="C207">
        <v>0</v>
      </c>
      <c r="D207">
        <f>IFERROR(VLOOKUP(C207,挂机玩法规划!$K$2:$L$4,2,FALSE),0)</f>
        <v>0</v>
      </c>
    </row>
    <row r="208" spans="1:4" x14ac:dyDescent="0.2">
      <c r="A208" t="s">
        <v>403</v>
      </c>
      <c r="B208">
        <v>92201</v>
      </c>
      <c r="C208">
        <v>0</v>
      </c>
      <c r="D208">
        <f>IFERROR(VLOOKUP(C208,挂机玩法规划!$K$2:$L$4,2,FALSE),0)</f>
        <v>0</v>
      </c>
    </row>
    <row r="209" spans="1:4" x14ac:dyDescent="0.2">
      <c r="A209" t="s">
        <v>404</v>
      </c>
      <c r="B209">
        <v>92202</v>
      </c>
      <c r="C209">
        <v>0</v>
      </c>
      <c r="D209">
        <f>IFERROR(VLOOKUP(C209,挂机玩法规划!$K$2:$L$4,2,FALSE),0)</f>
        <v>0</v>
      </c>
    </row>
    <row r="210" spans="1:4" x14ac:dyDescent="0.2">
      <c r="A210" t="s">
        <v>405</v>
      </c>
      <c r="B210">
        <v>92203</v>
      </c>
      <c r="C210">
        <v>0</v>
      </c>
      <c r="D210">
        <f>IFERROR(VLOOKUP(C210,挂机玩法规划!$K$2:$L$4,2,FALSE),0)</f>
        <v>0</v>
      </c>
    </row>
    <row r="211" spans="1:4" x14ac:dyDescent="0.2">
      <c r="A211" t="s">
        <v>406</v>
      </c>
      <c r="B211">
        <v>92204</v>
      </c>
      <c r="C211">
        <v>0</v>
      </c>
      <c r="D211">
        <f>IFERROR(VLOOKUP(C211,挂机玩法规划!$K$2:$L$4,2,FALSE),0)</f>
        <v>0</v>
      </c>
    </row>
    <row r="212" spans="1:4" x14ac:dyDescent="0.2">
      <c r="A212" t="s">
        <v>407</v>
      </c>
      <c r="B212">
        <v>92205</v>
      </c>
      <c r="C212">
        <v>0</v>
      </c>
      <c r="D212">
        <f>IFERROR(VLOOKUP(C212,挂机玩法规划!$K$2:$L$4,2,FALSE),0)</f>
        <v>0</v>
      </c>
    </row>
    <row r="213" spans="1:4" x14ac:dyDescent="0.2">
      <c r="A213" t="s">
        <v>408</v>
      </c>
      <c r="B213">
        <v>92206</v>
      </c>
      <c r="C213">
        <v>0</v>
      </c>
      <c r="D213">
        <f>IFERROR(VLOOKUP(C213,挂机玩法规划!$K$2:$L$4,2,FALSE),0)</f>
        <v>0</v>
      </c>
    </row>
    <row r="214" spans="1:4" x14ac:dyDescent="0.2">
      <c r="A214" t="s">
        <v>409</v>
      </c>
      <c r="B214">
        <v>93001</v>
      </c>
      <c r="C214">
        <v>0</v>
      </c>
      <c r="D214">
        <f>IFERROR(VLOOKUP(C214,挂机玩法规划!$K$2:$L$4,2,FALSE),0)</f>
        <v>0</v>
      </c>
    </row>
    <row r="215" spans="1:4" x14ac:dyDescent="0.2">
      <c r="A215" t="s">
        <v>410</v>
      </c>
      <c r="B215">
        <v>93002</v>
      </c>
      <c r="C215">
        <v>0</v>
      </c>
      <c r="D215">
        <f>IFERROR(VLOOKUP(C215,挂机玩法规划!$K$2:$L$4,2,FALSE),0)</f>
        <v>0</v>
      </c>
    </row>
    <row r="216" spans="1:4" x14ac:dyDescent="0.2">
      <c r="A216" t="s">
        <v>411</v>
      </c>
      <c r="B216">
        <v>93003</v>
      </c>
      <c r="C216">
        <v>0</v>
      </c>
      <c r="D216">
        <f>IFERROR(VLOOKUP(C216,挂机玩法规划!$K$2:$L$4,2,FALSE),0)</f>
        <v>0</v>
      </c>
    </row>
    <row r="217" spans="1:4" x14ac:dyDescent="0.2">
      <c r="A217" t="s">
        <v>412</v>
      </c>
      <c r="B217">
        <v>93004</v>
      </c>
      <c r="C217">
        <v>0</v>
      </c>
      <c r="D217">
        <f>IFERROR(VLOOKUP(C217,挂机玩法规划!$K$2:$L$4,2,FALSE),0)</f>
        <v>0</v>
      </c>
    </row>
    <row r="218" spans="1:4" x14ac:dyDescent="0.2">
      <c r="A218" t="s">
        <v>413</v>
      </c>
      <c r="B218">
        <v>93005</v>
      </c>
      <c r="C218">
        <v>0</v>
      </c>
      <c r="D218">
        <f>IFERROR(VLOOKUP(C218,挂机玩法规划!$K$2:$L$4,2,FALSE),0)</f>
        <v>0</v>
      </c>
    </row>
    <row r="219" spans="1:4" x14ac:dyDescent="0.2">
      <c r="A219" t="s">
        <v>414</v>
      </c>
      <c r="B219">
        <v>93006</v>
      </c>
      <c r="C219">
        <v>0</v>
      </c>
      <c r="D219">
        <f>IFERROR(VLOOKUP(C219,挂机玩法规划!$K$2:$L$4,2,FALSE),0)</f>
        <v>0</v>
      </c>
    </row>
    <row r="220" spans="1:4" x14ac:dyDescent="0.2">
      <c r="A220" t="s">
        <v>415</v>
      </c>
      <c r="B220">
        <v>93101</v>
      </c>
      <c r="C220">
        <v>0</v>
      </c>
      <c r="D220">
        <f>IFERROR(VLOOKUP(C220,挂机玩法规划!$K$2:$L$4,2,FALSE),0)</f>
        <v>0</v>
      </c>
    </row>
    <row r="221" spans="1:4" x14ac:dyDescent="0.2">
      <c r="A221" t="s">
        <v>416</v>
      </c>
      <c r="B221">
        <v>93102</v>
      </c>
      <c r="C221">
        <v>0</v>
      </c>
      <c r="D221">
        <f>IFERROR(VLOOKUP(C221,挂机玩法规划!$K$2:$L$4,2,FALSE),0)</f>
        <v>0</v>
      </c>
    </row>
    <row r="222" spans="1:4" x14ac:dyDescent="0.2">
      <c r="A222" t="s">
        <v>417</v>
      </c>
      <c r="B222">
        <v>93103</v>
      </c>
      <c r="C222">
        <v>0</v>
      </c>
      <c r="D222">
        <f>IFERROR(VLOOKUP(C222,挂机玩法规划!$K$2:$L$4,2,FALSE),0)</f>
        <v>0</v>
      </c>
    </row>
    <row r="223" spans="1:4" x14ac:dyDescent="0.2">
      <c r="A223" t="s">
        <v>418</v>
      </c>
      <c r="B223">
        <v>93104</v>
      </c>
      <c r="C223">
        <v>0</v>
      </c>
      <c r="D223">
        <f>IFERROR(VLOOKUP(C223,挂机玩法规划!$K$2:$L$4,2,FALSE),0)</f>
        <v>0</v>
      </c>
    </row>
    <row r="224" spans="1:4" x14ac:dyDescent="0.2">
      <c r="A224" t="s">
        <v>419</v>
      </c>
      <c r="B224">
        <v>93105</v>
      </c>
      <c r="C224">
        <v>0</v>
      </c>
      <c r="D224">
        <f>IFERROR(VLOOKUP(C224,挂机玩法规划!$K$2:$L$4,2,FALSE),0)</f>
        <v>0</v>
      </c>
    </row>
    <row r="225" spans="1:4" x14ac:dyDescent="0.2">
      <c r="A225" t="s">
        <v>420</v>
      </c>
      <c r="B225">
        <v>93106</v>
      </c>
      <c r="C225">
        <v>0</v>
      </c>
      <c r="D225">
        <f>IFERROR(VLOOKUP(C225,挂机玩法规划!$K$2:$L$4,2,FALSE),0)</f>
        <v>0</v>
      </c>
    </row>
    <row r="226" spans="1:4" x14ac:dyDescent="0.2">
      <c r="A226" t="s">
        <v>421</v>
      </c>
      <c r="B226">
        <v>93201</v>
      </c>
      <c r="C226">
        <v>0</v>
      </c>
      <c r="D226">
        <f>IFERROR(VLOOKUP(C226,挂机玩法规划!$K$2:$L$4,2,FALSE),0)</f>
        <v>0</v>
      </c>
    </row>
    <row r="227" spans="1:4" x14ac:dyDescent="0.2">
      <c r="A227" t="s">
        <v>422</v>
      </c>
      <c r="B227">
        <v>93202</v>
      </c>
      <c r="C227">
        <v>0</v>
      </c>
      <c r="D227">
        <f>IFERROR(VLOOKUP(C227,挂机玩法规划!$K$2:$L$4,2,FALSE),0)</f>
        <v>0</v>
      </c>
    </row>
    <row r="228" spans="1:4" x14ac:dyDescent="0.2">
      <c r="A228" t="s">
        <v>423</v>
      </c>
      <c r="B228">
        <v>93203</v>
      </c>
      <c r="C228">
        <v>0</v>
      </c>
      <c r="D228">
        <f>IFERROR(VLOOKUP(C228,挂机玩法规划!$K$2:$L$4,2,FALSE),0)</f>
        <v>0</v>
      </c>
    </row>
    <row r="229" spans="1:4" x14ac:dyDescent="0.2">
      <c r="A229" t="s">
        <v>424</v>
      </c>
      <c r="B229">
        <v>93204</v>
      </c>
      <c r="C229">
        <v>0</v>
      </c>
      <c r="D229">
        <f>IFERROR(VLOOKUP(C229,挂机玩法规划!$K$2:$L$4,2,FALSE),0)</f>
        <v>0</v>
      </c>
    </row>
    <row r="230" spans="1:4" x14ac:dyDescent="0.2">
      <c r="A230" t="s">
        <v>425</v>
      </c>
      <c r="B230">
        <v>93205</v>
      </c>
      <c r="C230">
        <v>0</v>
      </c>
      <c r="D230">
        <f>IFERROR(VLOOKUP(C230,挂机玩法规划!$K$2:$L$4,2,FALSE),0)</f>
        <v>0</v>
      </c>
    </row>
    <row r="231" spans="1:4" x14ac:dyDescent="0.2">
      <c r="A231" t="s">
        <v>426</v>
      </c>
      <c r="B231">
        <v>93206</v>
      </c>
      <c r="C231">
        <v>0</v>
      </c>
      <c r="D231">
        <f>IFERROR(VLOOKUP(C231,挂机玩法规划!$K$2:$L$4,2,FALSE),0)</f>
        <v>0</v>
      </c>
    </row>
    <row r="232" spans="1:4" x14ac:dyDescent="0.2">
      <c r="A232" t="s">
        <v>427</v>
      </c>
      <c r="B232">
        <v>94001</v>
      </c>
      <c r="C232">
        <v>0</v>
      </c>
      <c r="D232">
        <f>IFERROR(VLOOKUP(C232,挂机玩法规划!$K$2:$L$4,2,FALSE),0)</f>
        <v>0</v>
      </c>
    </row>
    <row r="233" spans="1:4" x14ac:dyDescent="0.2">
      <c r="A233" t="s">
        <v>428</v>
      </c>
      <c r="B233">
        <v>94002</v>
      </c>
      <c r="C233">
        <v>0</v>
      </c>
      <c r="D233">
        <f>IFERROR(VLOOKUP(C233,挂机玩法规划!$K$2:$L$4,2,FALSE),0)</f>
        <v>0</v>
      </c>
    </row>
    <row r="234" spans="1:4" x14ac:dyDescent="0.2">
      <c r="A234" t="s">
        <v>429</v>
      </c>
      <c r="B234">
        <v>94003</v>
      </c>
      <c r="C234">
        <v>0</v>
      </c>
      <c r="D234">
        <f>IFERROR(VLOOKUP(C234,挂机玩法规划!$K$2:$L$4,2,FALSE),0)</f>
        <v>0</v>
      </c>
    </row>
    <row r="235" spans="1:4" x14ac:dyDescent="0.2">
      <c r="A235" t="s">
        <v>430</v>
      </c>
      <c r="B235">
        <v>94004</v>
      </c>
      <c r="C235">
        <v>0</v>
      </c>
      <c r="D235">
        <f>IFERROR(VLOOKUP(C235,挂机玩法规划!$K$2:$L$4,2,FALSE),0)</f>
        <v>0</v>
      </c>
    </row>
    <row r="236" spans="1:4" x14ac:dyDescent="0.2">
      <c r="A236" t="s">
        <v>431</v>
      </c>
      <c r="B236">
        <v>94005</v>
      </c>
      <c r="C236">
        <v>0</v>
      </c>
      <c r="D236">
        <f>IFERROR(VLOOKUP(C236,挂机玩法规划!$K$2:$L$4,2,FALSE),0)</f>
        <v>0</v>
      </c>
    </row>
    <row r="237" spans="1:4" x14ac:dyDescent="0.2">
      <c r="A237" t="s">
        <v>432</v>
      </c>
      <c r="B237">
        <v>94006</v>
      </c>
      <c r="C237">
        <v>0</v>
      </c>
      <c r="D237">
        <f>IFERROR(VLOOKUP(C237,挂机玩法规划!$K$2:$L$4,2,FALSE),0)</f>
        <v>0</v>
      </c>
    </row>
    <row r="238" spans="1:4" x14ac:dyDescent="0.2">
      <c r="A238" t="s">
        <v>433</v>
      </c>
      <c r="B238">
        <v>94101</v>
      </c>
      <c r="C238">
        <v>0</v>
      </c>
      <c r="D238">
        <f>IFERROR(VLOOKUP(C238,挂机玩法规划!$K$2:$L$4,2,FALSE),0)</f>
        <v>0</v>
      </c>
    </row>
    <row r="239" spans="1:4" x14ac:dyDescent="0.2">
      <c r="A239" t="s">
        <v>434</v>
      </c>
      <c r="B239">
        <v>94102</v>
      </c>
      <c r="C239">
        <v>0</v>
      </c>
      <c r="D239">
        <f>IFERROR(VLOOKUP(C239,挂机玩法规划!$K$2:$L$4,2,FALSE),0)</f>
        <v>0</v>
      </c>
    </row>
    <row r="240" spans="1:4" x14ac:dyDescent="0.2">
      <c r="A240" t="s">
        <v>435</v>
      </c>
      <c r="B240">
        <v>94103</v>
      </c>
      <c r="C240">
        <v>0</v>
      </c>
      <c r="D240">
        <f>IFERROR(VLOOKUP(C240,挂机玩法规划!$K$2:$L$4,2,FALSE),0)</f>
        <v>0</v>
      </c>
    </row>
    <row r="241" spans="1:4" x14ac:dyDescent="0.2">
      <c r="A241" t="s">
        <v>436</v>
      </c>
      <c r="B241">
        <v>94104</v>
      </c>
      <c r="C241">
        <v>0</v>
      </c>
      <c r="D241">
        <f>IFERROR(VLOOKUP(C241,挂机玩法规划!$K$2:$L$4,2,FALSE),0)</f>
        <v>0</v>
      </c>
    </row>
    <row r="242" spans="1:4" x14ac:dyDescent="0.2">
      <c r="A242" t="s">
        <v>437</v>
      </c>
      <c r="B242">
        <v>94105</v>
      </c>
      <c r="C242">
        <v>0</v>
      </c>
      <c r="D242">
        <f>IFERROR(VLOOKUP(C242,挂机玩法规划!$K$2:$L$4,2,FALSE),0)</f>
        <v>0</v>
      </c>
    </row>
    <row r="243" spans="1:4" x14ac:dyDescent="0.2">
      <c r="A243" t="s">
        <v>438</v>
      </c>
      <c r="B243">
        <v>94106</v>
      </c>
      <c r="C243">
        <v>0</v>
      </c>
      <c r="D243">
        <f>IFERROR(VLOOKUP(C243,挂机玩法规划!$K$2:$L$4,2,FALSE),0)</f>
        <v>0</v>
      </c>
    </row>
    <row r="244" spans="1:4" x14ac:dyDescent="0.2">
      <c r="A244" t="s">
        <v>439</v>
      </c>
      <c r="B244">
        <v>94201</v>
      </c>
      <c r="C244">
        <v>0</v>
      </c>
      <c r="D244">
        <f>IFERROR(VLOOKUP(C244,挂机玩法规划!$K$2:$L$4,2,FALSE),0)</f>
        <v>0</v>
      </c>
    </row>
    <row r="245" spans="1:4" x14ac:dyDescent="0.2">
      <c r="A245" t="s">
        <v>440</v>
      </c>
      <c r="B245">
        <v>94202</v>
      </c>
      <c r="C245">
        <v>0</v>
      </c>
      <c r="D245">
        <f>IFERROR(VLOOKUP(C245,挂机玩法规划!$K$2:$L$4,2,FALSE),0)</f>
        <v>0</v>
      </c>
    </row>
    <row r="246" spans="1:4" x14ac:dyDescent="0.2">
      <c r="A246" t="s">
        <v>441</v>
      </c>
      <c r="B246">
        <v>94203</v>
      </c>
      <c r="C246">
        <v>0</v>
      </c>
      <c r="D246">
        <f>IFERROR(VLOOKUP(C246,挂机玩法规划!$K$2:$L$4,2,FALSE),0)</f>
        <v>0</v>
      </c>
    </row>
    <row r="247" spans="1:4" x14ac:dyDescent="0.2">
      <c r="A247" t="s">
        <v>442</v>
      </c>
      <c r="B247">
        <v>94204</v>
      </c>
      <c r="C247">
        <v>0</v>
      </c>
      <c r="D247">
        <f>IFERROR(VLOOKUP(C247,挂机玩法规划!$K$2:$L$4,2,FALSE),0)</f>
        <v>0</v>
      </c>
    </row>
    <row r="248" spans="1:4" x14ac:dyDescent="0.2">
      <c r="A248" t="s">
        <v>443</v>
      </c>
      <c r="B248">
        <v>94205</v>
      </c>
      <c r="C248">
        <v>0</v>
      </c>
      <c r="D248">
        <f>IFERROR(VLOOKUP(C248,挂机玩法规划!$K$2:$L$4,2,FALSE),0)</f>
        <v>0</v>
      </c>
    </row>
    <row r="249" spans="1:4" x14ac:dyDescent="0.2">
      <c r="A249" t="s">
        <v>444</v>
      </c>
      <c r="B249">
        <v>94206</v>
      </c>
      <c r="C249">
        <v>0</v>
      </c>
      <c r="D249">
        <f>IFERROR(VLOOKUP(C249,挂机玩法规划!$K$2:$L$4,2,FALSE),0)</f>
        <v>0</v>
      </c>
    </row>
    <row r="250" spans="1:4" x14ac:dyDescent="0.2">
      <c r="A250" t="s">
        <v>445</v>
      </c>
      <c r="B250">
        <v>95001</v>
      </c>
      <c r="C250">
        <v>0</v>
      </c>
      <c r="D250">
        <f>IFERROR(VLOOKUP(C250,挂机玩法规划!$K$2:$L$4,2,FALSE),0)</f>
        <v>0</v>
      </c>
    </row>
    <row r="251" spans="1:4" x14ac:dyDescent="0.2">
      <c r="A251" t="s">
        <v>446</v>
      </c>
      <c r="B251">
        <v>95002</v>
      </c>
      <c r="C251">
        <v>0</v>
      </c>
      <c r="D251">
        <f>IFERROR(VLOOKUP(C251,挂机玩法规划!$K$2:$L$4,2,FALSE),0)</f>
        <v>0</v>
      </c>
    </row>
    <row r="252" spans="1:4" x14ac:dyDescent="0.2">
      <c r="A252" t="s">
        <v>447</v>
      </c>
      <c r="B252">
        <v>95003</v>
      </c>
      <c r="C252">
        <v>0</v>
      </c>
      <c r="D252">
        <f>IFERROR(VLOOKUP(C252,挂机玩法规划!$K$2:$L$4,2,FALSE),0)</f>
        <v>0</v>
      </c>
    </row>
    <row r="253" spans="1:4" x14ac:dyDescent="0.2">
      <c r="A253" t="s">
        <v>448</v>
      </c>
      <c r="B253">
        <v>95004</v>
      </c>
      <c r="C253">
        <v>0</v>
      </c>
      <c r="D253">
        <f>IFERROR(VLOOKUP(C253,挂机玩法规划!$K$2:$L$4,2,FALSE),0)</f>
        <v>0</v>
      </c>
    </row>
    <row r="254" spans="1:4" x14ac:dyDescent="0.2">
      <c r="A254" t="s">
        <v>449</v>
      </c>
      <c r="B254">
        <v>95005</v>
      </c>
      <c r="C254">
        <v>0</v>
      </c>
      <c r="D254">
        <f>IFERROR(VLOOKUP(C254,挂机玩法规划!$K$2:$L$4,2,FALSE),0)</f>
        <v>0</v>
      </c>
    </row>
    <row r="255" spans="1:4" x14ac:dyDescent="0.2">
      <c r="A255" t="s">
        <v>450</v>
      </c>
      <c r="B255">
        <v>95006</v>
      </c>
      <c r="C255">
        <v>0</v>
      </c>
      <c r="D255">
        <f>IFERROR(VLOOKUP(C255,挂机玩法规划!$K$2:$L$4,2,FALSE),0)</f>
        <v>0</v>
      </c>
    </row>
    <row r="256" spans="1:4" x14ac:dyDescent="0.2">
      <c r="A256" t="s">
        <v>451</v>
      </c>
      <c r="B256">
        <v>95101</v>
      </c>
      <c r="C256">
        <v>0</v>
      </c>
      <c r="D256">
        <f>IFERROR(VLOOKUP(C256,挂机玩法规划!$K$2:$L$4,2,FALSE),0)</f>
        <v>0</v>
      </c>
    </row>
    <row r="257" spans="1:4" x14ac:dyDescent="0.2">
      <c r="A257" t="s">
        <v>452</v>
      </c>
      <c r="B257">
        <v>95102</v>
      </c>
      <c r="C257">
        <v>0</v>
      </c>
      <c r="D257">
        <f>IFERROR(VLOOKUP(C257,挂机玩法规划!$K$2:$L$4,2,FALSE),0)</f>
        <v>0</v>
      </c>
    </row>
    <row r="258" spans="1:4" x14ac:dyDescent="0.2">
      <c r="A258" t="s">
        <v>453</v>
      </c>
      <c r="B258">
        <v>95103</v>
      </c>
      <c r="C258">
        <v>0</v>
      </c>
      <c r="D258">
        <f>IFERROR(VLOOKUP(C258,挂机玩法规划!$K$2:$L$4,2,FALSE),0)</f>
        <v>0</v>
      </c>
    </row>
    <row r="259" spans="1:4" x14ac:dyDescent="0.2">
      <c r="A259" t="s">
        <v>454</v>
      </c>
      <c r="B259">
        <v>95104</v>
      </c>
      <c r="C259">
        <v>0</v>
      </c>
      <c r="D259">
        <f>IFERROR(VLOOKUP(C259,挂机玩法规划!$K$2:$L$4,2,FALSE),0)</f>
        <v>0</v>
      </c>
    </row>
    <row r="260" spans="1:4" x14ac:dyDescent="0.2">
      <c r="A260" t="s">
        <v>455</v>
      </c>
      <c r="B260">
        <v>95105</v>
      </c>
      <c r="C260">
        <v>0</v>
      </c>
      <c r="D260">
        <f>IFERROR(VLOOKUP(C260,挂机玩法规划!$K$2:$L$4,2,FALSE),0)</f>
        <v>0</v>
      </c>
    </row>
    <row r="261" spans="1:4" x14ac:dyDescent="0.2">
      <c r="A261" t="s">
        <v>456</v>
      </c>
      <c r="B261">
        <v>95106</v>
      </c>
      <c r="C261">
        <v>0</v>
      </c>
      <c r="D261">
        <f>IFERROR(VLOOKUP(C261,挂机玩法规划!$K$2:$L$4,2,FALSE),0)</f>
        <v>0</v>
      </c>
    </row>
    <row r="262" spans="1:4" x14ac:dyDescent="0.2">
      <c r="A262" t="s">
        <v>457</v>
      </c>
      <c r="B262">
        <v>95201</v>
      </c>
      <c r="C262">
        <v>0</v>
      </c>
      <c r="D262">
        <f>IFERROR(VLOOKUP(C262,挂机玩法规划!$K$2:$L$4,2,FALSE),0)</f>
        <v>0</v>
      </c>
    </row>
    <row r="263" spans="1:4" x14ac:dyDescent="0.2">
      <c r="A263" t="s">
        <v>458</v>
      </c>
      <c r="B263">
        <v>95202</v>
      </c>
      <c r="C263">
        <v>0</v>
      </c>
      <c r="D263">
        <f>IFERROR(VLOOKUP(C263,挂机玩法规划!$K$2:$L$4,2,FALSE),0)</f>
        <v>0</v>
      </c>
    </row>
    <row r="264" spans="1:4" x14ac:dyDescent="0.2">
      <c r="A264" t="s">
        <v>459</v>
      </c>
      <c r="B264">
        <v>95203</v>
      </c>
      <c r="C264">
        <v>0</v>
      </c>
      <c r="D264">
        <f>IFERROR(VLOOKUP(C264,挂机玩法规划!$K$2:$L$4,2,FALSE),0)</f>
        <v>0</v>
      </c>
    </row>
    <row r="265" spans="1:4" x14ac:dyDescent="0.2">
      <c r="A265" t="s">
        <v>460</v>
      </c>
      <c r="B265">
        <v>95204</v>
      </c>
      <c r="C265">
        <v>0</v>
      </c>
      <c r="D265">
        <f>IFERROR(VLOOKUP(C265,挂机玩法规划!$K$2:$L$4,2,FALSE),0)</f>
        <v>0</v>
      </c>
    </row>
    <row r="266" spans="1:4" x14ac:dyDescent="0.2">
      <c r="A266" t="s">
        <v>461</v>
      </c>
      <c r="B266">
        <v>95205</v>
      </c>
      <c r="C266">
        <v>0</v>
      </c>
      <c r="D266">
        <f>IFERROR(VLOOKUP(C266,挂机玩法规划!$K$2:$L$4,2,FALSE),0)</f>
        <v>0</v>
      </c>
    </row>
    <row r="267" spans="1:4" x14ac:dyDescent="0.2">
      <c r="A267" t="s">
        <v>462</v>
      </c>
      <c r="B267">
        <v>95206</v>
      </c>
      <c r="C267">
        <v>0</v>
      </c>
      <c r="D267">
        <f>IFERROR(VLOOKUP(C267,挂机玩法规划!$K$2:$L$4,2,FALSE),0)</f>
        <v>0</v>
      </c>
    </row>
    <row r="268" spans="1:4" x14ac:dyDescent="0.2">
      <c r="C268">
        <v>0</v>
      </c>
      <c r="D268">
        <f>IFERROR(VLOOKUP(C268,挂机玩法规划!$K$2:$L$4,2,FALSE),0)</f>
        <v>0</v>
      </c>
    </row>
    <row r="269" spans="1:4" x14ac:dyDescent="0.2">
      <c r="A269" t="s">
        <v>463</v>
      </c>
      <c r="B269" t="s">
        <v>464</v>
      </c>
      <c r="C269">
        <v>0</v>
      </c>
      <c r="D269">
        <f>IFERROR(VLOOKUP(C269,挂机玩法规划!$K$2:$L$4,2,FALSE),0)</f>
        <v>0</v>
      </c>
    </row>
    <row r="270" spans="1:4" x14ac:dyDescent="0.2">
      <c r="A270" t="s">
        <v>465</v>
      </c>
      <c r="B270">
        <v>23000</v>
      </c>
      <c r="C270">
        <v>0</v>
      </c>
      <c r="D270">
        <f>IFERROR(VLOOKUP(C270,挂机玩法规划!$K$2:$L$4,2,FALSE),0)</f>
        <v>0</v>
      </c>
    </row>
    <row r="271" spans="1:4" x14ac:dyDescent="0.2">
      <c r="A271" t="s">
        <v>466</v>
      </c>
      <c r="B271">
        <v>23001</v>
      </c>
      <c r="C271">
        <v>0</v>
      </c>
      <c r="D271">
        <f>IFERROR(VLOOKUP(C271,挂机玩法规划!$K$2:$L$4,2,FALSE),0)</f>
        <v>0</v>
      </c>
    </row>
    <row r="272" spans="1:4" x14ac:dyDescent="0.2">
      <c r="A272" t="s">
        <v>467</v>
      </c>
      <c r="B272">
        <v>23002</v>
      </c>
      <c r="C272">
        <v>0</v>
      </c>
      <c r="D272">
        <f>IFERROR(VLOOKUP(C272,挂机玩法规划!$K$2:$L$4,2,FALSE),0)</f>
        <v>0</v>
      </c>
    </row>
    <row r="273" spans="1:4" x14ac:dyDescent="0.2">
      <c r="A273" t="s">
        <v>468</v>
      </c>
      <c r="B273">
        <v>23003</v>
      </c>
      <c r="C273">
        <v>0</v>
      </c>
      <c r="D273">
        <f>IFERROR(VLOOKUP(C273,挂机玩法规划!$K$2:$L$4,2,FALSE),0)</f>
        <v>0</v>
      </c>
    </row>
    <row r="274" spans="1:4" x14ac:dyDescent="0.2">
      <c r="A274" t="s">
        <v>469</v>
      </c>
      <c r="B274">
        <v>23004</v>
      </c>
      <c r="C274">
        <v>0</v>
      </c>
      <c r="D274">
        <f>IFERROR(VLOOKUP(C274,挂机玩法规划!$K$2:$L$4,2,FALSE),0)</f>
        <v>0</v>
      </c>
    </row>
    <row r="275" spans="1:4" x14ac:dyDescent="0.2">
      <c r="A275" t="s">
        <v>470</v>
      </c>
      <c r="B275">
        <v>23005</v>
      </c>
      <c r="C275">
        <v>0</v>
      </c>
      <c r="D275">
        <f>IFERROR(VLOOKUP(C275,挂机玩法规划!$K$2:$L$4,2,FALSE),0)</f>
        <v>0</v>
      </c>
    </row>
    <row r="276" spans="1:4" x14ac:dyDescent="0.2">
      <c r="A276" t="s">
        <v>471</v>
      </c>
      <c r="B276">
        <v>23006</v>
      </c>
      <c r="C276">
        <v>0</v>
      </c>
      <c r="D276">
        <f>IFERROR(VLOOKUP(C276,挂机玩法规划!$K$2:$L$4,2,FALSE),0)</f>
        <v>0</v>
      </c>
    </row>
    <row r="277" spans="1:4" x14ac:dyDescent="0.2">
      <c r="A277" t="s">
        <v>472</v>
      </c>
      <c r="B277">
        <v>23007</v>
      </c>
      <c r="C277">
        <v>0</v>
      </c>
      <c r="D277">
        <f>IFERROR(VLOOKUP(C277,挂机玩法规划!$K$2:$L$4,2,FALSE),0)</f>
        <v>0</v>
      </c>
    </row>
    <row r="278" spans="1:4" x14ac:dyDescent="0.2">
      <c r="A278" t="s">
        <v>473</v>
      </c>
      <c r="B278">
        <v>23008</v>
      </c>
      <c r="C278">
        <v>0</v>
      </c>
      <c r="D278">
        <f>IFERROR(VLOOKUP(C278,挂机玩法规划!$K$2:$L$4,2,FALSE),0)</f>
        <v>0</v>
      </c>
    </row>
    <row r="279" spans="1:4" x14ac:dyDescent="0.2">
      <c r="A279" t="s">
        <v>474</v>
      </c>
      <c r="B279">
        <v>23009</v>
      </c>
      <c r="C279">
        <v>0</v>
      </c>
      <c r="D279">
        <f>IFERROR(VLOOKUP(C279,挂机玩法规划!$K$2:$L$4,2,FALSE),0)</f>
        <v>0</v>
      </c>
    </row>
    <row r="280" spans="1:4" x14ac:dyDescent="0.2">
      <c r="A280" t="s">
        <v>475</v>
      </c>
      <c r="B280">
        <v>23010</v>
      </c>
      <c r="C280">
        <v>0</v>
      </c>
      <c r="D280">
        <f>IFERROR(VLOOKUP(C280,挂机玩法规划!$K$2:$L$4,2,FALSE),0)</f>
        <v>0</v>
      </c>
    </row>
    <row r="281" spans="1:4" x14ac:dyDescent="0.2">
      <c r="A281" t="s">
        <v>476</v>
      </c>
      <c r="B281">
        <v>24001</v>
      </c>
      <c r="C281">
        <v>0</v>
      </c>
      <c r="D281">
        <f>IFERROR(VLOOKUP(C281,挂机玩法规划!$K$2:$L$4,2,FALSE),0)</f>
        <v>0</v>
      </c>
    </row>
    <row r="282" spans="1:4" x14ac:dyDescent="0.2">
      <c r="A282" t="s">
        <v>477</v>
      </c>
      <c r="B282">
        <v>24002</v>
      </c>
      <c r="C282">
        <v>0</v>
      </c>
      <c r="D282">
        <f>IFERROR(VLOOKUP(C282,挂机玩法规划!$K$2:$L$4,2,FALSE),0)</f>
        <v>0</v>
      </c>
    </row>
    <row r="283" spans="1:4" x14ac:dyDescent="0.2">
      <c r="A283" t="s">
        <v>478</v>
      </c>
      <c r="B283">
        <v>24003</v>
      </c>
      <c r="C283">
        <v>0</v>
      </c>
      <c r="D283">
        <f>IFERROR(VLOOKUP(C283,挂机玩法规划!$K$2:$L$4,2,FALSE),0)</f>
        <v>0</v>
      </c>
    </row>
    <row r="284" spans="1:4" x14ac:dyDescent="0.2">
      <c r="A284" t="s">
        <v>479</v>
      </c>
      <c r="B284">
        <v>24004</v>
      </c>
      <c r="C284">
        <v>0</v>
      </c>
      <c r="D284">
        <f>IFERROR(VLOOKUP(C284,挂机玩法规划!$K$2:$L$4,2,FALSE),0)</f>
        <v>0</v>
      </c>
    </row>
    <row r="285" spans="1:4" x14ac:dyDescent="0.2">
      <c r="A285" t="s">
        <v>480</v>
      </c>
      <c r="B285">
        <v>24005</v>
      </c>
      <c r="C285">
        <v>0</v>
      </c>
      <c r="D285">
        <f>IFERROR(VLOOKUP(C285,挂机玩法规划!$K$2:$L$4,2,FALSE),0)</f>
        <v>0</v>
      </c>
    </row>
    <row r="286" spans="1:4" x14ac:dyDescent="0.2">
      <c r="A286" t="s">
        <v>481</v>
      </c>
      <c r="B286">
        <v>24006</v>
      </c>
      <c r="C286">
        <v>0</v>
      </c>
      <c r="D286">
        <f>IFERROR(VLOOKUP(C286,挂机玩法规划!$K$2:$L$4,2,FALSE),0)</f>
        <v>0</v>
      </c>
    </row>
    <row r="287" spans="1:4" x14ac:dyDescent="0.2">
      <c r="A287" t="s">
        <v>482</v>
      </c>
      <c r="B287">
        <v>24007</v>
      </c>
      <c r="C287">
        <v>0</v>
      </c>
      <c r="D287">
        <f>IFERROR(VLOOKUP(C287,挂机玩法规划!$K$2:$L$4,2,FALSE),0)</f>
        <v>0</v>
      </c>
    </row>
    <row r="288" spans="1:4" x14ac:dyDescent="0.2">
      <c r="A288" t="s">
        <v>483</v>
      </c>
      <c r="B288">
        <v>24008</v>
      </c>
      <c r="C288">
        <v>0</v>
      </c>
      <c r="D288">
        <f>IFERROR(VLOOKUP(C288,挂机玩法规划!$K$2:$L$4,2,FALSE),0)</f>
        <v>0</v>
      </c>
    </row>
    <row r="289" spans="1:4" x14ac:dyDescent="0.2">
      <c r="A289" t="s">
        <v>484</v>
      </c>
      <c r="B289">
        <v>24009</v>
      </c>
      <c r="C289">
        <v>0</v>
      </c>
      <c r="D289">
        <f>IFERROR(VLOOKUP(C289,挂机玩法规划!$K$2:$L$4,2,FALSE),0)</f>
        <v>0</v>
      </c>
    </row>
    <row r="290" spans="1:4" x14ac:dyDescent="0.2">
      <c r="A290" t="s">
        <v>485</v>
      </c>
      <c r="B290">
        <v>24010</v>
      </c>
      <c r="C290">
        <v>0</v>
      </c>
      <c r="D290">
        <f>IFERROR(VLOOKUP(C290,挂机玩法规划!$K$2:$L$4,2,FALSE),0)</f>
        <v>0</v>
      </c>
    </row>
    <row r="291" spans="1:4" x14ac:dyDescent="0.2">
      <c r="A291" t="s">
        <v>486</v>
      </c>
      <c r="B291">
        <v>23101</v>
      </c>
      <c r="C291">
        <v>0</v>
      </c>
      <c r="D291">
        <f>IFERROR(VLOOKUP(C291,挂机玩法规划!$K$2:$L$4,2,FALSE),0)</f>
        <v>0</v>
      </c>
    </row>
    <row r="292" spans="1:4" x14ac:dyDescent="0.2">
      <c r="A292" t="s">
        <v>487</v>
      </c>
      <c r="B292">
        <v>23102</v>
      </c>
      <c r="C292">
        <v>0</v>
      </c>
      <c r="D292">
        <f>IFERROR(VLOOKUP(C292,挂机玩法规划!$K$2:$L$4,2,FALSE),0)</f>
        <v>0</v>
      </c>
    </row>
    <row r="293" spans="1:4" x14ac:dyDescent="0.2">
      <c r="A293" t="s">
        <v>488</v>
      </c>
      <c r="B293">
        <v>23103</v>
      </c>
      <c r="C293">
        <v>0</v>
      </c>
      <c r="D293">
        <f>IFERROR(VLOOKUP(C293,挂机玩法规划!$K$2:$L$4,2,FALSE),0)</f>
        <v>0</v>
      </c>
    </row>
    <row r="294" spans="1:4" x14ac:dyDescent="0.2">
      <c r="A294" t="s">
        <v>489</v>
      </c>
      <c r="B294">
        <v>23104</v>
      </c>
      <c r="C294">
        <v>0</v>
      </c>
      <c r="D294">
        <f>IFERROR(VLOOKUP(C294,挂机玩法规划!$K$2:$L$4,2,FALSE),0)</f>
        <v>0</v>
      </c>
    </row>
    <row r="295" spans="1:4" x14ac:dyDescent="0.2">
      <c r="A295" t="s">
        <v>490</v>
      </c>
      <c r="B295">
        <v>23105</v>
      </c>
      <c r="C295">
        <v>0</v>
      </c>
      <c r="D295">
        <f>IFERROR(VLOOKUP(C295,挂机玩法规划!$K$2:$L$4,2,FALSE),0)</f>
        <v>0</v>
      </c>
    </row>
    <row r="296" spans="1:4" x14ac:dyDescent="0.2">
      <c r="A296" t="s">
        <v>491</v>
      </c>
      <c r="B296">
        <v>23106</v>
      </c>
      <c r="C296">
        <v>0</v>
      </c>
      <c r="D296">
        <f>IFERROR(VLOOKUP(C296,挂机玩法规划!$K$2:$L$4,2,FALSE),0)</f>
        <v>0</v>
      </c>
    </row>
    <row r="297" spans="1:4" x14ac:dyDescent="0.2">
      <c r="A297" t="s">
        <v>492</v>
      </c>
      <c r="B297">
        <v>23107</v>
      </c>
      <c r="C297">
        <v>0</v>
      </c>
      <c r="D297">
        <f>IFERROR(VLOOKUP(C297,挂机玩法规划!$K$2:$L$4,2,FALSE),0)</f>
        <v>0</v>
      </c>
    </row>
    <row r="298" spans="1:4" x14ac:dyDescent="0.2">
      <c r="A298" t="s">
        <v>493</v>
      </c>
      <c r="B298">
        <v>23108</v>
      </c>
      <c r="C298">
        <v>0</v>
      </c>
      <c r="D298">
        <f>IFERROR(VLOOKUP(C298,挂机玩法规划!$K$2:$L$4,2,FALSE),0)</f>
        <v>0</v>
      </c>
    </row>
    <row r="299" spans="1:4" x14ac:dyDescent="0.2">
      <c r="A299" t="s">
        <v>494</v>
      </c>
      <c r="B299">
        <v>23109</v>
      </c>
      <c r="C299">
        <v>0</v>
      </c>
      <c r="D299">
        <f>IFERROR(VLOOKUP(C299,挂机玩法规划!$K$2:$L$4,2,FALSE),0)</f>
        <v>0</v>
      </c>
    </row>
    <row r="300" spans="1:4" x14ac:dyDescent="0.2">
      <c r="A300" t="s">
        <v>495</v>
      </c>
      <c r="B300">
        <v>23110</v>
      </c>
      <c r="C300">
        <v>0</v>
      </c>
      <c r="D300">
        <f>IFERROR(VLOOKUP(C300,挂机玩法规划!$K$2:$L$4,2,FALSE),0)</f>
        <v>0</v>
      </c>
    </row>
    <row r="301" spans="1:4" x14ac:dyDescent="0.2">
      <c r="A301" t="s">
        <v>496</v>
      </c>
      <c r="B301">
        <v>24101</v>
      </c>
      <c r="C301">
        <v>0</v>
      </c>
      <c r="D301">
        <f>IFERROR(VLOOKUP(C301,挂机玩法规划!$K$2:$L$4,2,FALSE),0)</f>
        <v>0</v>
      </c>
    </row>
    <row r="302" spans="1:4" x14ac:dyDescent="0.2">
      <c r="A302" t="s">
        <v>497</v>
      </c>
      <c r="B302">
        <v>24102</v>
      </c>
      <c r="C302">
        <v>0</v>
      </c>
      <c r="D302">
        <f>IFERROR(VLOOKUP(C302,挂机玩法规划!$K$2:$L$4,2,FALSE),0)</f>
        <v>0</v>
      </c>
    </row>
    <row r="303" spans="1:4" x14ac:dyDescent="0.2">
      <c r="A303" t="s">
        <v>498</v>
      </c>
      <c r="B303">
        <v>24103</v>
      </c>
      <c r="C303">
        <v>0</v>
      </c>
      <c r="D303">
        <f>IFERROR(VLOOKUP(C303,挂机玩法规划!$K$2:$L$4,2,FALSE),0)</f>
        <v>0</v>
      </c>
    </row>
    <row r="304" spans="1:4" x14ac:dyDescent="0.2">
      <c r="A304" t="s">
        <v>499</v>
      </c>
      <c r="B304">
        <v>24104</v>
      </c>
      <c r="C304">
        <v>0</v>
      </c>
      <c r="D304">
        <f>IFERROR(VLOOKUP(C304,挂机玩法规划!$K$2:$L$4,2,FALSE),0)</f>
        <v>0</v>
      </c>
    </row>
    <row r="305" spans="1:4" x14ac:dyDescent="0.2">
      <c r="A305" t="s">
        <v>500</v>
      </c>
      <c r="B305">
        <v>24105</v>
      </c>
      <c r="C305">
        <v>0</v>
      </c>
      <c r="D305">
        <f>IFERROR(VLOOKUP(C305,挂机玩法规划!$K$2:$L$4,2,FALSE),0)</f>
        <v>0</v>
      </c>
    </row>
    <row r="306" spans="1:4" x14ac:dyDescent="0.2">
      <c r="A306" t="s">
        <v>501</v>
      </c>
      <c r="B306">
        <v>24106</v>
      </c>
      <c r="C306">
        <v>0</v>
      </c>
      <c r="D306">
        <f>IFERROR(VLOOKUP(C306,挂机玩法规划!$K$2:$L$4,2,FALSE),0)</f>
        <v>0</v>
      </c>
    </row>
    <row r="307" spans="1:4" x14ac:dyDescent="0.2">
      <c r="A307" t="s">
        <v>502</v>
      </c>
      <c r="B307">
        <v>24107</v>
      </c>
      <c r="C307">
        <v>0</v>
      </c>
      <c r="D307">
        <f>IFERROR(VLOOKUP(C307,挂机玩法规划!$K$2:$L$4,2,FALSE),0)</f>
        <v>0</v>
      </c>
    </row>
    <row r="308" spans="1:4" x14ac:dyDescent="0.2">
      <c r="A308" t="s">
        <v>503</v>
      </c>
      <c r="B308">
        <v>24108</v>
      </c>
      <c r="C308">
        <v>0</v>
      </c>
      <c r="D308">
        <f>IFERROR(VLOOKUP(C308,挂机玩法规划!$K$2:$L$4,2,FALSE),0)</f>
        <v>0</v>
      </c>
    </row>
    <row r="309" spans="1:4" x14ac:dyDescent="0.2">
      <c r="A309" t="s">
        <v>504</v>
      </c>
      <c r="B309">
        <v>24109</v>
      </c>
      <c r="C309">
        <v>0</v>
      </c>
      <c r="D309">
        <f>IFERROR(VLOOKUP(C309,挂机玩法规划!$K$2:$L$4,2,FALSE),0)</f>
        <v>0</v>
      </c>
    </row>
    <row r="310" spans="1:4" x14ac:dyDescent="0.2">
      <c r="A310" t="s">
        <v>505</v>
      </c>
      <c r="B310">
        <v>24110</v>
      </c>
      <c r="C310">
        <v>0</v>
      </c>
      <c r="D310">
        <f>IFERROR(VLOOKUP(C310,挂机玩法规划!$K$2:$L$4,2,FALSE),0)</f>
        <v>0</v>
      </c>
    </row>
    <row r="311" spans="1:4" x14ac:dyDescent="0.2">
      <c r="A311" t="s">
        <v>506</v>
      </c>
      <c r="B311">
        <v>25001</v>
      </c>
      <c r="C311">
        <v>0</v>
      </c>
      <c r="D311">
        <f>IFERROR(VLOOKUP(C311,挂机玩法规划!$K$2:$L$4,2,FALSE),0)</f>
        <v>0</v>
      </c>
    </row>
    <row r="312" spans="1:4" x14ac:dyDescent="0.2">
      <c r="A312" t="s">
        <v>507</v>
      </c>
      <c r="B312">
        <v>25002</v>
      </c>
      <c r="C312">
        <v>0</v>
      </c>
      <c r="D312">
        <f>IFERROR(VLOOKUP(C312,挂机玩法规划!$K$2:$L$4,2,FALSE),0)</f>
        <v>0</v>
      </c>
    </row>
    <row r="313" spans="1:4" x14ac:dyDescent="0.2">
      <c r="A313" t="s">
        <v>508</v>
      </c>
      <c r="B313">
        <v>25003</v>
      </c>
      <c r="C313">
        <v>0</v>
      </c>
      <c r="D313">
        <f>IFERROR(VLOOKUP(C313,挂机玩法规划!$K$2:$L$4,2,FALSE),0)</f>
        <v>0</v>
      </c>
    </row>
    <row r="314" spans="1:4" x14ac:dyDescent="0.2">
      <c r="A314" t="s">
        <v>509</v>
      </c>
      <c r="B314">
        <v>25004</v>
      </c>
      <c r="C314">
        <v>0</v>
      </c>
      <c r="D314">
        <f>IFERROR(VLOOKUP(C314,挂机玩法规划!$K$2:$L$4,2,FALSE),0)</f>
        <v>0</v>
      </c>
    </row>
    <row r="315" spans="1:4" x14ac:dyDescent="0.2">
      <c r="A315" t="s">
        <v>510</v>
      </c>
      <c r="B315">
        <v>25005</v>
      </c>
      <c r="C315">
        <v>0</v>
      </c>
      <c r="D315">
        <f>IFERROR(VLOOKUP(C315,挂机玩法规划!$K$2:$L$4,2,FALSE),0)</f>
        <v>0</v>
      </c>
    </row>
    <row r="316" spans="1:4" x14ac:dyDescent="0.2">
      <c r="A316" t="s">
        <v>511</v>
      </c>
      <c r="B316">
        <v>25006</v>
      </c>
      <c r="C316">
        <v>0</v>
      </c>
      <c r="D316">
        <f>IFERROR(VLOOKUP(C316,挂机玩法规划!$K$2:$L$4,2,FALSE),0)</f>
        <v>0</v>
      </c>
    </row>
    <row r="317" spans="1:4" x14ac:dyDescent="0.2">
      <c r="A317" t="s">
        <v>512</v>
      </c>
      <c r="B317">
        <v>25007</v>
      </c>
      <c r="C317">
        <v>0</v>
      </c>
      <c r="D317">
        <f>IFERROR(VLOOKUP(C317,挂机玩法规划!$K$2:$L$4,2,FALSE),0)</f>
        <v>0</v>
      </c>
    </row>
    <row r="318" spans="1:4" x14ac:dyDescent="0.2">
      <c r="A318" t="s">
        <v>513</v>
      </c>
      <c r="B318">
        <v>25008</v>
      </c>
      <c r="C318">
        <v>0</v>
      </c>
      <c r="D318">
        <f>IFERROR(VLOOKUP(C318,挂机玩法规划!$K$2:$L$4,2,FALSE),0)</f>
        <v>0</v>
      </c>
    </row>
    <row r="319" spans="1:4" x14ac:dyDescent="0.2">
      <c r="A319" t="s">
        <v>514</v>
      </c>
      <c r="B319">
        <v>25009</v>
      </c>
      <c r="C319">
        <v>0</v>
      </c>
      <c r="D319">
        <f>IFERROR(VLOOKUP(C319,挂机玩法规划!$K$2:$L$4,2,FALSE),0)</f>
        <v>0</v>
      </c>
    </row>
    <row r="320" spans="1:4" x14ac:dyDescent="0.2">
      <c r="A320" t="s">
        <v>515</v>
      </c>
      <c r="B320">
        <v>25010</v>
      </c>
      <c r="C320">
        <v>0</v>
      </c>
      <c r="D320">
        <f>IFERROR(VLOOKUP(C320,挂机玩法规划!$K$2:$L$4,2,FALSE),0)</f>
        <v>0</v>
      </c>
    </row>
    <row r="321" spans="1:4" x14ac:dyDescent="0.2">
      <c r="A321" t="s">
        <v>516</v>
      </c>
      <c r="B321">
        <v>25051</v>
      </c>
      <c r="C321">
        <v>0</v>
      </c>
      <c r="D321">
        <f>IFERROR(VLOOKUP(C321,挂机玩法规划!$K$2:$L$4,2,FALSE),0)</f>
        <v>0</v>
      </c>
    </row>
    <row r="322" spans="1:4" x14ac:dyDescent="0.2">
      <c r="A322" t="s">
        <v>517</v>
      </c>
      <c r="B322">
        <v>25052</v>
      </c>
      <c r="C322">
        <v>0</v>
      </c>
      <c r="D322">
        <f>IFERROR(VLOOKUP(C322,挂机玩法规划!$K$2:$L$4,2,FALSE),0)</f>
        <v>0</v>
      </c>
    </row>
    <row r="323" spans="1:4" x14ac:dyDescent="0.2">
      <c r="A323" t="s">
        <v>518</v>
      </c>
      <c r="B323">
        <v>25053</v>
      </c>
      <c r="C323">
        <v>0</v>
      </c>
      <c r="D323">
        <f>IFERROR(VLOOKUP(C323,挂机玩法规划!$K$2:$L$4,2,FALSE),0)</f>
        <v>0</v>
      </c>
    </row>
    <row r="324" spans="1:4" x14ac:dyDescent="0.2">
      <c r="A324" t="s">
        <v>519</v>
      </c>
      <c r="B324">
        <v>25054</v>
      </c>
      <c r="C324">
        <v>0</v>
      </c>
      <c r="D324">
        <f>IFERROR(VLOOKUP(C324,挂机玩法规划!$K$2:$L$4,2,FALSE),0)</f>
        <v>0</v>
      </c>
    </row>
    <row r="325" spans="1:4" x14ac:dyDescent="0.2">
      <c r="A325" t="s">
        <v>520</v>
      </c>
      <c r="B325">
        <v>25055</v>
      </c>
      <c r="C325">
        <v>0</v>
      </c>
      <c r="D325">
        <f>IFERROR(VLOOKUP(C325,挂机玩法规划!$K$2:$L$4,2,FALSE),0)</f>
        <v>0</v>
      </c>
    </row>
    <row r="326" spans="1:4" x14ac:dyDescent="0.2">
      <c r="A326" t="s">
        <v>521</v>
      </c>
      <c r="B326">
        <v>25056</v>
      </c>
      <c r="C326">
        <v>0</v>
      </c>
      <c r="D326">
        <f>IFERROR(VLOOKUP(C326,挂机玩法规划!$K$2:$L$4,2,FALSE),0)</f>
        <v>0</v>
      </c>
    </row>
    <row r="327" spans="1:4" x14ac:dyDescent="0.2">
      <c r="A327" t="s">
        <v>522</v>
      </c>
      <c r="B327">
        <v>25057</v>
      </c>
      <c r="C327">
        <v>0</v>
      </c>
      <c r="D327">
        <f>IFERROR(VLOOKUP(C327,挂机玩法规划!$K$2:$L$4,2,FALSE),0)</f>
        <v>0</v>
      </c>
    </row>
    <row r="328" spans="1:4" x14ac:dyDescent="0.2">
      <c r="A328" t="s">
        <v>523</v>
      </c>
      <c r="B328">
        <v>25058</v>
      </c>
      <c r="C328">
        <v>0</v>
      </c>
      <c r="D328">
        <f>IFERROR(VLOOKUP(C328,挂机玩法规划!$K$2:$L$4,2,FALSE),0)</f>
        <v>0</v>
      </c>
    </row>
    <row r="329" spans="1:4" x14ac:dyDescent="0.2">
      <c r="A329" t="s">
        <v>524</v>
      </c>
      <c r="B329">
        <v>25059</v>
      </c>
      <c r="C329">
        <v>0</v>
      </c>
      <c r="D329">
        <f>IFERROR(VLOOKUP(C329,挂机玩法规划!$K$2:$L$4,2,FALSE),0)</f>
        <v>0</v>
      </c>
    </row>
    <row r="330" spans="1:4" x14ac:dyDescent="0.2">
      <c r="A330" t="s">
        <v>525</v>
      </c>
      <c r="B330">
        <v>25060</v>
      </c>
      <c r="C330">
        <v>0</v>
      </c>
      <c r="D330">
        <f>IFERROR(VLOOKUP(C330,挂机玩法规划!$K$2:$L$4,2,FALSE),0)</f>
        <v>0</v>
      </c>
    </row>
    <row r="331" spans="1:4" x14ac:dyDescent="0.2">
      <c r="A331" t="s">
        <v>526</v>
      </c>
      <c r="B331">
        <v>25101</v>
      </c>
      <c r="C331">
        <v>0</v>
      </c>
      <c r="D331">
        <f>IFERROR(VLOOKUP(C331,挂机玩法规划!$K$2:$L$4,2,FALSE),0)</f>
        <v>0</v>
      </c>
    </row>
    <row r="332" spans="1:4" x14ac:dyDescent="0.2">
      <c r="A332" t="s">
        <v>527</v>
      </c>
      <c r="B332">
        <v>25102</v>
      </c>
      <c r="C332">
        <v>0</v>
      </c>
      <c r="D332">
        <f>IFERROR(VLOOKUP(C332,挂机玩法规划!$K$2:$L$4,2,FALSE),0)</f>
        <v>0</v>
      </c>
    </row>
    <row r="333" spans="1:4" x14ac:dyDescent="0.2">
      <c r="A333" t="s">
        <v>528</v>
      </c>
      <c r="B333">
        <v>25103</v>
      </c>
      <c r="C333">
        <v>0</v>
      </c>
      <c r="D333">
        <f>IFERROR(VLOOKUP(C333,挂机玩法规划!$K$2:$L$4,2,FALSE),0)</f>
        <v>0</v>
      </c>
    </row>
    <row r="334" spans="1:4" x14ac:dyDescent="0.2">
      <c r="A334" t="s">
        <v>529</v>
      </c>
      <c r="B334">
        <v>25104</v>
      </c>
      <c r="C334">
        <v>0</v>
      </c>
      <c r="D334">
        <f>IFERROR(VLOOKUP(C334,挂机玩法规划!$K$2:$L$4,2,FALSE),0)</f>
        <v>0</v>
      </c>
    </row>
    <row r="335" spans="1:4" x14ac:dyDescent="0.2">
      <c r="A335" t="s">
        <v>530</v>
      </c>
      <c r="B335">
        <v>25105</v>
      </c>
      <c r="C335">
        <v>0</v>
      </c>
      <c r="D335">
        <f>IFERROR(VLOOKUP(C335,挂机玩法规划!$K$2:$L$4,2,FALSE),0)</f>
        <v>0</v>
      </c>
    </row>
    <row r="336" spans="1:4" x14ac:dyDescent="0.2">
      <c r="A336" t="s">
        <v>531</v>
      </c>
      <c r="B336">
        <v>25106</v>
      </c>
      <c r="C336">
        <v>0</v>
      </c>
      <c r="D336">
        <f>IFERROR(VLOOKUP(C336,挂机玩法规划!$K$2:$L$4,2,FALSE),0)</f>
        <v>0</v>
      </c>
    </row>
    <row r="337" spans="1:4" x14ac:dyDescent="0.2">
      <c r="A337" t="s">
        <v>532</v>
      </c>
      <c r="B337">
        <v>25107</v>
      </c>
      <c r="C337">
        <v>0</v>
      </c>
      <c r="D337">
        <f>IFERROR(VLOOKUP(C337,挂机玩法规划!$K$2:$L$4,2,FALSE),0)</f>
        <v>0</v>
      </c>
    </row>
    <row r="338" spans="1:4" x14ac:dyDescent="0.2">
      <c r="A338" t="s">
        <v>533</v>
      </c>
      <c r="B338">
        <v>25108</v>
      </c>
      <c r="C338">
        <v>0</v>
      </c>
      <c r="D338">
        <f>IFERROR(VLOOKUP(C338,挂机玩法规划!$K$2:$L$4,2,FALSE),0)</f>
        <v>0</v>
      </c>
    </row>
    <row r="339" spans="1:4" x14ac:dyDescent="0.2">
      <c r="A339" t="s">
        <v>534</v>
      </c>
      <c r="B339">
        <v>25109</v>
      </c>
      <c r="C339">
        <v>0</v>
      </c>
      <c r="D339">
        <f>IFERROR(VLOOKUP(C339,挂机玩法规划!$K$2:$L$4,2,FALSE),0)</f>
        <v>0</v>
      </c>
    </row>
    <row r="340" spans="1:4" x14ac:dyDescent="0.2">
      <c r="A340" t="s">
        <v>535</v>
      </c>
      <c r="B340">
        <v>25110</v>
      </c>
      <c r="C340">
        <v>0</v>
      </c>
      <c r="D340">
        <f>IFERROR(VLOOKUP(C340,挂机玩法规划!$K$2:$L$4,2,FALSE),0)</f>
        <v>0</v>
      </c>
    </row>
    <row r="341" spans="1:4" x14ac:dyDescent="0.2">
      <c r="A341" t="s">
        <v>536</v>
      </c>
      <c r="B341">
        <v>25151</v>
      </c>
      <c r="C341">
        <v>0</v>
      </c>
      <c r="D341">
        <f>IFERROR(VLOOKUP(C341,挂机玩法规划!$K$2:$L$4,2,FALSE),0)</f>
        <v>0</v>
      </c>
    </row>
    <row r="342" spans="1:4" x14ac:dyDescent="0.2">
      <c r="A342" t="s">
        <v>537</v>
      </c>
      <c r="B342">
        <v>25152</v>
      </c>
      <c r="C342">
        <v>0</v>
      </c>
      <c r="D342">
        <f>IFERROR(VLOOKUP(C342,挂机玩法规划!$K$2:$L$4,2,FALSE),0)</f>
        <v>0</v>
      </c>
    </row>
    <row r="343" spans="1:4" x14ac:dyDescent="0.2">
      <c r="A343" t="s">
        <v>538</v>
      </c>
      <c r="B343">
        <v>25153</v>
      </c>
      <c r="C343">
        <v>0</v>
      </c>
      <c r="D343">
        <f>IFERROR(VLOOKUP(C343,挂机玩法规划!$K$2:$L$4,2,FALSE),0)</f>
        <v>0</v>
      </c>
    </row>
    <row r="344" spans="1:4" x14ac:dyDescent="0.2">
      <c r="A344" t="s">
        <v>539</v>
      </c>
      <c r="B344">
        <v>25154</v>
      </c>
      <c r="C344">
        <v>0</v>
      </c>
      <c r="D344">
        <f>IFERROR(VLOOKUP(C344,挂机玩法规划!$K$2:$L$4,2,FALSE),0)</f>
        <v>0</v>
      </c>
    </row>
    <row r="345" spans="1:4" x14ac:dyDescent="0.2">
      <c r="A345" t="s">
        <v>540</v>
      </c>
      <c r="B345">
        <v>25155</v>
      </c>
      <c r="C345">
        <v>0</v>
      </c>
      <c r="D345">
        <f>IFERROR(VLOOKUP(C345,挂机玩法规划!$K$2:$L$4,2,FALSE),0)</f>
        <v>0</v>
      </c>
    </row>
    <row r="346" spans="1:4" x14ac:dyDescent="0.2">
      <c r="A346" t="s">
        <v>541</v>
      </c>
      <c r="B346">
        <v>25156</v>
      </c>
      <c r="C346">
        <v>0</v>
      </c>
      <c r="D346">
        <f>IFERROR(VLOOKUP(C346,挂机玩法规划!$K$2:$L$4,2,FALSE),0)</f>
        <v>0</v>
      </c>
    </row>
    <row r="347" spans="1:4" x14ac:dyDescent="0.2">
      <c r="A347" t="s">
        <v>542</v>
      </c>
      <c r="B347">
        <v>25157</v>
      </c>
      <c r="C347">
        <v>0</v>
      </c>
      <c r="D347">
        <f>IFERROR(VLOOKUP(C347,挂机玩法规划!$K$2:$L$4,2,FALSE),0)</f>
        <v>0</v>
      </c>
    </row>
    <row r="348" spans="1:4" x14ac:dyDescent="0.2">
      <c r="A348" t="s">
        <v>543</v>
      </c>
      <c r="B348">
        <v>25158</v>
      </c>
      <c r="C348">
        <v>0</v>
      </c>
      <c r="D348">
        <f>IFERROR(VLOOKUP(C348,挂机玩法规划!$K$2:$L$4,2,FALSE),0)</f>
        <v>0</v>
      </c>
    </row>
    <row r="349" spans="1:4" x14ac:dyDescent="0.2">
      <c r="A349" t="s">
        <v>544</v>
      </c>
      <c r="B349">
        <v>25159</v>
      </c>
      <c r="C349">
        <v>0</v>
      </c>
      <c r="D349">
        <f>IFERROR(VLOOKUP(C349,挂机玩法规划!$K$2:$L$4,2,FALSE),0)</f>
        <v>0</v>
      </c>
    </row>
    <row r="350" spans="1:4" x14ac:dyDescent="0.2">
      <c r="A350" t="s">
        <v>545</v>
      </c>
      <c r="B350">
        <v>25160</v>
      </c>
      <c r="C350">
        <v>0</v>
      </c>
      <c r="D350">
        <f>IFERROR(VLOOKUP(C350,挂机玩法规划!$K$2:$L$4,2,FALSE),0)</f>
        <v>0</v>
      </c>
    </row>
    <row r="351" spans="1:4" x14ac:dyDescent="0.2">
      <c r="A351" t="s">
        <v>546</v>
      </c>
      <c r="B351">
        <v>25201</v>
      </c>
      <c r="C351">
        <v>0</v>
      </c>
      <c r="D351">
        <f>IFERROR(VLOOKUP(C351,挂机玩法规划!$K$2:$L$4,2,FALSE),0)</f>
        <v>0</v>
      </c>
    </row>
    <row r="352" spans="1:4" x14ac:dyDescent="0.2">
      <c r="A352" t="s">
        <v>547</v>
      </c>
      <c r="B352">
        <v>25202</v>
      </c>
      <c r="C352">
        <v>0</v>
      </c>
      <c r="D352">
        <f>IFERROR(VLOOKUP(C352,挂机玩法规划!$K$2:$L$4,2,FALSE),0)</f>
        <v>0</v>
      </c>
    </row>
    <row r="353" spans="1:4" x14ac:dyDescent="0.2">
      <c r="A353" t="s">
        <v>548</v>
      </c>
      <c r="B353">
        <v>25203</v>
      </c>
      <c r="C353">
        <v>0</v>
      </c>
      <c r="D353">
        <f>IFERROR(VLOOKUP(C353,挂机玩法规划!$K$2:$L$4,2,FALSE),0)</f>
        <v>0</v>
      </c>
    </row>
    <row r="354" spans="1:4" x14ac:dyDescent="0.2">
      <c r="A354" t="s">
        <v>549</v>
      </c>
      <c r="B354">
        <v>25204</v>
      </c>
      <c r="C354">
        <v>0</v>
      </c>
      <c r="D354">
        <f>IFERROR(VLOOKUP(C354,挂机玩法规划!$K$2:$L$4,2,FALSE),0)</f>
        <v>0</v>
      </c>
    </row>
    <row r="355" spans="1:4" x14ac:dyDescent="0.2">
      <c r="A355" t="s">
        <v>550</v>
      </c>
      <c r="B355">
        <v>25205</v>
      </c>
      <c r="C355">
        <v>0</v>
      </c>
      <c r="D355">
        <f>IFERROR(VLOOKUP(C355,挂机玩法规划!$K$2:$L$4,2,FALSE),0)</f>
        <v>0</v>
      </c>
    </row>
    <row r="356" spans="1:4" x14ac:dyDescent="0.2">
      <c r="A356" t="s">
        <v>551</v>
      </c>
      <c r="B356">
        <v>25206</v>
      </c>
      <c r="C356">
        <v>0</v>
      </c>
      <c r="D356">
        <f>IFERROR(VLOOKUP(C356,挂机玩法规划!$K$2:$L$4,2,FALSE),0)</f>
        <v>0</v>
      </c>
    </row>
    <row r="357" spans="1:4" x14ac:dyDescent="0.2">
      <c r="A357" t="s">
        <v>552</v>
      </c>
      <c r="B357">
        <v>25207</v>
      </c>
      <c r="C357">
        <v>0</v>
      </c>
      <c r="D357">
        <f>IFERROR(VLOOKUP(C357,挂机玩法规划!$K$2:$L$4,2,FALSE),0)</f>
        <v>0</v>
      </c>
    </row>
    <row r="358" spans="1:4" x14ac:dyDescent="0.2">
      <c r="A358" t="s">
        <v>553</v>
      </c>
      <c r="B358">
        <v>25208</v>
      </c>
      <c r="C358">
        <v>0</v>
      </c>
      <c r="D358">
        <f>IFERROR(VLOOKUP(C358,挂机玩法规划!$K$2:$L$4,2,FALSE),0)</f>
        <v>0</v>
      </c>
    </row>
    <row r="359" spans="1:4" x14ac:dyDescent="0.2">
      <c r="A359" t="s">
        <v>554</v>
      </c>
      <c r="B359">
        <v>25209</v>
      </c>
      <c r="C359">
        <v>0</v>
      </c>
      <c r="D359">
        <f>IFERROR(VLOOKUP(C359,挂机玩法规划!$K$2:$L$4,2,FALSE),0)</f>
        <v>0</v>
      </c>
    </row>
    <row r="360" spans="1:4" x14ac:dyDescent="0.2">
      <c r="A360" t="s">
        <v>555</v>
      </c>
      <c r="B360">
        <v>25210</v>
      </c>
      <c r="C360">
        <v>0</v>
      </c>
      <c r="D360">
        <f>IFERROR(VLOOKUP(C360,挂机玩法规划!$K$2:$L$4,2,FALSE),0)</f>
        <v>0</v>
      </c>
    </row>
    <row r="361" spans="1:4" x14ac:dyDescent="0.2">
      <c r="A361" t="s">
        <v>556</v>
      </c>
      <c r="B361">
        <v>25251</v>
      </c>
      <c r="C361">
        <v>0</v>
      </c>
      <c r="D361">
        <f>IFERROR(VLOOKUP(C361,挂机玩法规划!$K$2:$L$4,2,FALSE),0)</f>
        <v>0</v>
      </c>
    </row>
    <row r="362" spans="1:4" x14ac:dyDescent="0.2">
      <c r="A362" t="s">
        <v>557</v>
      </c>
      <c r="B362">
        <v>25252</v>
      </c>
      <c r="C362">
        <v>0</v>
      </c>
      <c r="D362">
        <f>IFERROR(VLOOKUP(C362,挂机玩法规划!$K$2:$L$4,2,FALSE),0)</f>
        <v>0</v>
      </c>
    </row>
    <row r="363" spans="1:4" x14ac:dyDescent="0.2">
      <c r="A363" t="s">
        <v>558</v>
      </c>
      <c r="B363">
        <v>25253</v>
      </c>
      <c r="C363">
        <v>0</v>
      </c>
      <c r="D363">
        <f>IFERROR(VLOOKUP(C363,挂机玩法规划!$K$2:$L$4,2,FALSE),0)</f>
        <v>0</v>
      </c>
    </row>
    <row r="364" spans="1:4" x14ac:dyDescent="0.2">
      <c r="A364" t="s">
        <v>559</v>
      </c>
      <c r="B364">
        <v>25254</v>
      </c>
      <c r="C364">
        <v>0</v>
      </c>
      <c r="D364">
        <f>IFERROR(VLOOKUP(C364,挂机玩法规划!$K$2:$L$4,2,FALSE),0)</f>
        <v>0</v>
      </c>
    </row>
    <row r="365" spans="1:4" x14ac:dyDescent="0.2">
      <c r="A365" t="s">
        <v>560</v>
      </c>
      <c r="B365">
        <v>25255</v>
      </c>
      <c r="C365">
        <v>0</v>
      </c>
      <c r="D365">
        <f>IFERROR(VLOOKUP(C365,挂机玩法规划!$K$2:$L$4,2,FALSE),0)</f>
        <v>0</v>
      </c>
    </row>
    <row r="366" spans="1:4" x14ac:dyDescent="0.2">
      <c r="A366" t="s">
        <v>561</v>
      </c>
      <c r="B366">
        <v>25256</v>
      </c>
      <c r="C366">
        <v>0</v>
      </c>
      <c r="D366">
        <f>IFERROR(VLOOKUP(C366,挂机玩法规划!$K$2:$L$4,2,FALSE),0)</f>
        <v>0</v>
      </c>
    </row>
    <row r="367" spans="1:4" x14ac:dyDescent="0.2">
      <c r="A367" t="s">
        <v>562</v>
      </c>
      <c r="B367">
        <v>25257</v>
      </c>
      <c r="C367">
        <v>0</v>
      </c>
      <c r="D367">
        <f>IFERROR(VLOOKUP(C367,挂机玩法规划!$K$2:$L$4,2,FALSE),0)</f>
        <v>0</v>
      </c>
    </row>
    <row r="368" spans="1:4" x14ac:dyDescent="0.2">
      <c r="A368" t="s">
        <v>563</v>
      </c>
      <c r="B368">
        <v>25258</v>
      </c>
      <c r="C368">
        <v>0</v>
      </c>
      <c r="D368">
        <f>IFERROR(VLOOKUP(C368,挂机玩法规划!$K$2:$L$4,2,FALSE),0)</f>
        <v>0</v>
      </c>
    </row>
    <row r="369" spans="1:4" x14ac:dyDescent="0.2">
      <c r="A369" t="s">
        <v>564</v>
      </c>
      <c r="B369">
        <v>25259</v>
      </c>
      <c r="C369">
        <v>0</v>
      </c>
      <c r="D369">
        <f>IFERROR(VLOOKUP(C369,挂机玩法规划!$K$2:$L$4,2,FALSE),0)</f>
        <v>0</v>
      </c>
    </row>
    <row r="370" spans="1:4" x14ac:dyDescent="0.2">
      <c r="A370" t="s">
        <v>565</v>
      </c>
      <c r="B370">
        <v>25260</v>
      </c>
      <c r="C370">
        <v>0</v>
      </c>
      <c r="D370">
        <f>IFERROR(VLOOKUP(C370,挂机玩法规划!$K$2:$L$4,2,FALSE),0)</f>
        <v>0</v>
      </c>
    </row>
    <row r="371" spans="1:4" x14ac:dyDescent="0.2">
      <c r="A371" t="s">
        <v>566</v>
      </c>
      <c r="B371">
        <v>25301</v>
      </c>
      <c r="C371">
        <v>0</v>
      </c>
      <c r="D371">
        <f>IFERROR(VLOOKUP(C371,挂机玩法规划!$K$2:$L$4,2,FALSE),0)</f>
        <v>0</v>
      </c>
    </row>
    <row r="372" spans="1:4" x14ac:dyDescent="0.2">
      <c r="A372" t="s">
        <v>567</v>
      </c>
      <c r="B372">
        <v>25302</v>
      </c>
      <c r="C372">
        <v>0</v>
      </c>
      <c r="D372">
        <f>IFERROR(VLOOKUP(C372,挂机玩法规划!$K$2:$L$4,2,FALSE),0)</f>
        <v>0</v>
      </c>
    </row>
    <row r="373" spans="1:4" x14ac:dyDescent="0.2">
      <c r="A373" t="s">
        <v>568</v>
      </c>
      <c r="B373">
        <v>25303</v>
      </c>
      <c r="C373">
        <v>0</v>
      </c>
      <c r="D373">
        <f>IFERROR(VLOOKUP(C373,挂机玩法规划!$K$2:$L$4,2,FALSE),0)</f>
        <v>0</v>
      </c>
    </row>
    <row r="374" spans="1:4" x14ac:dyDescent="0.2">
      <c r="A374" t="s">
        <v>569</v>
      </c>
      <c r="B374">
        <v>25304</v>
      </c>
      <c r="C374">
        <v>0</v>
      </c>
      <c r="D374">
        <f>IFERROR(VLOOKUP(C374,挂机玩法规划!$K$2:$L$4,2,FALSE),0)</f>
        <v>0</v>
      </c>
    </row>
    <row r="375" spans="1:4" x14ac:dyDescent="0.2">
      <c r="A375" t="s">
        <v>570</v>
      </c>
      <c r="B375">
        <v>25305</v>
      </c>
      <c r="C375">
        <v>0</v>
      </c>
      <c r="D375">
        <f>IFERROR(VLOOKUP(C375,挂机玩法规划!$K$2:$L$4,2,FALSE),0)</f>
        <v>0</v>
      </c>
    </row>
    <row r="376" spans="1:4" x14ac:dyDescent="0.2">
      <c r="A376" t="s">
        <v>571</v>
      </c>
      <c r="B376">
        <v>25306</v>
      </c>
      <c r="C376">
        <v>0</v>
      </c>
      <c r="D376">
        <f>IFERROR(VLOOKUP(C376,挂机玩法规划!$K$2:$L$4,2,FALSE),0)</f>
        <v>0</v>
      </c>
    </row>
    <row r="377" spans="1:4" x14ac:dyDescent="0.2">
      <c r="A377" t="s">
        <v>572</v>
      </c>
      <c r="B377">
        <v>25307</v>
      </c>
      <c r="C377">
        <v>0</v>
      </c>
      <c r="D377">
        <f>IFERROR(VLOOKUP(C377,挂机玩法规划!$K$2:$L$4,2,FALSE),0)</f>
        <v>0</v>
      </c>
    </row>
    <row r="378" spans="1:4" x14ac:dyDescent="0.2">
      <c r="A378" t="s">
        <v>573</v>
      </c>
      <c r="B378">
        <v>25308</v>
      </c>
      <c r="C378">
        <v>0</v>
      </c>
      <c r="D378">
        <f>IFERROR(VLOOKUP(C378,挂机玩法规划!$K$2:$L$4,2,FALSE),0)</f>
        <v>0</v>
      </c>
    </row>
    <row r="379" spans="1:4" x14ac:dyDescent="0.2">
      <c r="A379" t="s">
        <v>574</v>
      </c>
      <c r="B379">
        <v>25309</v>
      </c>
      <c r="C379">
        <v>0</v>
      </c>
      <c r="D379">
        <f>IFERROR(VLOOKUP(C379,挂机玩法规划!$K$2:$L$4,2,FALSE),0)</f>
        <v>0</v>
      </c>
    </row>
    <row r="380" spans="1:4" x14ac:dyDescent="0.2">
      <c r="A380" t="s">
        <v>575</v>
      </c>
      <c r="B380">
        <v>25310</v>
      </c>
      <c r="C380">
        <v>0</v>
      </c>
      <c r="D380">
        <f>IFERROR(VLOOKUP(C380,挂机玩法规划!$K$2:$L$4,2,FALSE),0)</f>
        <v>0</v>
      </c>
    </row>
    <row r="381" spans="1:4" x14ac:dyDescent="0.2">
      <c r="A381" t="s">
        <v>576</v>
      </c>
      <c r="B381">
        <v>25351</v>
      </c>
      <c r="C381">
        <v>0</v>
      </c>
      <c r="D381">
        <f>IFERROR(VLOOKUP(C381,挂机玩法规划!$K$2:$L$4,2,FALSE),0)</f>
        <v>0</v>
      </c>
    </row>
    <row r="382" spans="1:4" x14ac:dyDescent="0.2">
      <c r="A382" t="s">
        <v>577</v>
      </c>
      <c r="B382">
        <v>25352</v>
      </c>
      <c r="C382">
        <v>0</v>
      </c>
      <c r="D382">
        <f>IFERROR(VLOOKUP(C382,挂机玩法规划!$K$2:$L$4,2,FALSE),0)</f>
        <v>0</v>
      </c>
    </row>
    <row r="383" spans="1:4" x14ac:dyDescent="0.2">
      <c r="A383" t="s">
        <v>578</v>
      </c>
      <c r="B383">
        <v>25353</v>
      </c>
      <c r="C383">
        <v>0</v>
      </c>
      <c r="D383">
        <f>IFERROR(VLOOKUP(C383,挂机玩法规划!$K$2:$L$4,2,FALSE),0)</f>
        <v>0</v>
      </c>
    </row>
    <row r="384" spans="1:4" x14ac:dyDescent="0.2">
      <c r="A384" t="s">
        <v>579</v>
      </c>
      <c r="B384">
        <v>25354</v>
      </c>
      <c r="C384">
        <v>0</v>
      </c>
      <c r="D384">
        <f>IFERROR(VLOOKUP(C384,挂机玩法规划!$K$2:$L$4,2,FALSE),0)</f>
        <v>0</v>
      </c>
    </row>
    <row r="385" spans="1:4" x14ac:dyDescent="0.2">
      <c r="A385" t="s">
        <v>580</v>
      </c>
      <c r="B385">
        <v>25355</v>
      </c>
      <c r="C385">
        <v>0</v>
      </c>
      <c r="D385">
        <f>IFERROR(VLOOKUP(C385,挂机玩法规划!$K$2:$L$4,2,FALSE),0)</f>
        <v>0</v>
      </c>
    </row>
    <row r="386" spans="1:4" x14ac:dyDescent="0.2">
      <c r="A386" t="s">
        <v>581</v>
      </c>
      <c r="B386">
        <v>25356</v>
      </c>
      <c r="C386">
        <v>0</v>
      </c>
      <c r="D386">
        <f>IFERROR(VLOOKUP(C386,挂机玩法规划!$K$2:$L$4,2,FALSE),0)</f>
        <v>0</v>
      </c>
    </row>
    <row r="387" spans="1:4" x14ac:dyDescent="0.2">
      <c r="A387" t="s">
        <v>582</v>
      </c>
      <c r="B387">
        <v>25357</v>
      </c>
      <c r="C387">
        <v>0</v>
      </c>
      <c r="D387">
        <f>IFERROR(VLOOKUP(C387,挂机玩法规划!$K$2:$L$4,2,FALSE),0)</f>
        <v>0</v>
      </c>
    </row>
    <row r="388" spans="1:4" x14ac:dyDescent="0.2">
      <c r="A388" t="s">
        <v>583</v>
      </c>
      <c r="B388">
        <v>25358</v>
      </c>
      <c r="C388">
        <v>0</v>
      </c>
      <c r="D388">
        <f>IFERROR(VLOOKUP(C388,挂机玩法规划!$K$2:$L$4,2,FALSE),0)</f>
        <v>0</v>
      </c>
    </row>
    <row r="389" spans="1:4" x14ac:dyDescent="0.2">
      <c r="A389" t="s">
        <v>584</v>
      </c>
      <c r="B389">
        <v>25359</v>
      </c>
      <c r="C389">
        <v>0</v>
      </c>
      <c r="D389">
        <f>IFERROR(VLOOKUP(C389,挂机玩法规划!$K$2:$L$4,2,FALSE),0)</f>
        <v>0</v>
      </c>
    </row>
    <row r="390" spans="1:4" x14ac:dyDescent="0.2">
      <c r="A390" t="s">
        <v>585</v>
      </c>
      <c r="B390">
        <v>25360</v>
      </c>
      <c r="C390">
        <v>0</v>
      </c>
      <c r="D390">
        <f>IFERROR(VLOOKUP(C390,挂机玩法规划!$K$2:$L$4,2,FALSE),0)</f>
        <v>0</v>
      </c>
    </row>
    <row r="391" spans="1:4" x14ac:dyDescent="0.2">
      <c r="A391" t="s">
        <v>586</v>
      </c>
      <c r="B391">
        <v>25401</v>
      </c>
      <c r="C391">
        <v>0</v>
      </c>
      <c r="D391">
        <f>IFERROR(VLOOKUP(C391,挂机玩法规划!$K$2:$L$4,2,FALSE),0)</f>
        <v>0</v>
      </c>
    </row>
    <row r="392" spans="1:4" x14ac:dyDescent="0.2">
      <c r="A392" t="s">
        <v>587</v>
      </c>
      <c r="B392">
        <v>25402</v>
      </c>
      <c r="C392">
        <v>0</v>
      </c>
      <c r="D392">
        <f>IFERROR(VLOOKUP(C392,挂机玩法规划!$K$2:$L$4,2,FALSE),0)</f>
        <v>0</v>
      </c>
    </row>
    <row r="393" spans="1:4" x14ac:dyDescent="0.2">
      <c r="A393" t="s">
        <v>588</v>
      </c>
      <c r="B393">
        <v>25403</v>
      </c>
      <c r="C393">
        <v>0</v>
      </c>
      <c r="D393">
        <f>IFERROR(VLOOKUP(C393,挂机玩法规划!$K$2:$L$4,2,FALSE),0)</f>
        <v>0</v>
      </c>
    </row>
    <row r="394" spans="1:4" x14ac:dyDescent="0.2">
      <c r="A394" t="s">
        <v>589</v>
      </c>
      <c r="B394">
        <v>25404</v>
      </c>
      <c r="C394">
        <v>0</v>
      </c>
      <c r="D394">
        <f>IFERROR(VLOOKUP(C394,挂机玩法规划!$K$2:$L$4,2,FALSE),0)</f>
        <v>0</v>
      </c>
    </row>
    <row r="395" spans="1:4" x14ac:dyDescent="0.2">
      <c r="A395" t="s">
        <v>590</v>
      </c>
      <c r="B395">
        <v>25405</v>
      </c>
      <c r="C395">
        <v>0</v>
      </c>
      <c r="D395">
        <f>IFERROR(VLOOKUP(C395,挂机玩法规划!$K$2:$L$4,2,FALSE),0)</f>
        <v>0</v>
      </c>
    </row>
    <row r="396" spans="1:4" x14ac:dyDescent="0.2">
      <c r="A396" t="s">
        <v>591</v>
      </c>
      <c r="B396">
        <v>25406</v>
      </c>
      <c r="C396">
        <v>0</v>
      </c>
      <c r="D396">
        <f>IFERROR(VLOOKUP(C396,挂机玩法规划!$K$2:$L$4,2,FALSE),0)</f>
        <v>0</v>
      </c>
    </row>
    <row r="397" spans="1:4" x14ac:dyDescent="0.2">
      <c r="A397" t="s">
        <v>592</v>
      </c>
      <c r="B397">
        <v>25407</v>
      </c>
      <c r="C397">
        <v>0</v>
      </c>
      <c r="D397">
        <f>IFERROR(VLOOKUP(C397,挂机玩法规划!$K$2:$L$4,2,FALSE),0)</f>
        <v>0</v>
      </c>
    </row>
    <row r="398" spans="1:4" x14ac:dyDescent="0.2">
      <c r="A398" t="s">
        <v>593</v>
      </c>
      <c r="B398">
        <v>25408</v>
      </c>
      <c r="C398">
        <v>0</v>
      </c>
      <c r="D398">
        <f>IFERROR(VLOOKUP(C398,挂机玩法规划!$K$2:$L$4,2,FALSE),0)</f>
        <v>0</v>
      </c>
    </row>
    <row r="399" spans="1:4" x14ac:dyDescent="0.2">
      <c r="A399" t="s">
        <v>594</v>
      </c>
      <c r="B399">
        <v>25409</v>
      </c>
      <c r="C399">
        <v>0</v>
      </c>
      <c r="D399">
        <f>IFERROR(VLOOKUP(C399,挂机玩法规划!$K$2:$L$4,2,FALSE),0)</f>
        <v>0</v>
      </c>
    </row>
    <row r="400" spans="1:4" x14ac:dyDescent="0.2">
      <c r="A400" t="s">
        <v>595</v>
      </c>
      <c r="B400">
        <v>25410</v>
      </c>
      <c r="C400">
        <v>0</v>
      </c>
      <c r="D400">
        <f>IFERROR(VLOOKUP(C400,挂机玩法规划!$K$2:$L$4,2,FALSE),0)</f>
        <v>0</v>
      </c>
    </row>
    <row r="401" spans="1:4" x14ac:dyDescent="0.2">
      <c r="A401" t="s">
        <v>596</v>
      </c>
      <c r="B401">
        <v>25451</v>
      </c>
      <c r="C401">
        <v>0</v>
      </c>
      <c r="D401">
        <f>IFERROR(VLOOKUP(C401,挂机玩法规划!$K$2:$L$4,2,FALSE),0)</f>
        <v>0</v>
      </c>
    </row>
    <row r="402" spans="1:4" x14ac:dyDescent="0.2">
      <c r="A402" t="s">
        <v>597</v>
      </c>
      <c r="B402">
        <v>25452</v>
      </c>
      <c r="C402">
        <v>0</v>
      </c>
      <c r="D402">
        <f>IFERROR(VLOOKUP(C402,挂机玩法规划!$K$2:$L$4,2,FALSE),0)</f>
        <v>0</v>
      </c>
    </row>
    <row r="403" spans="1:4" x14ac:dyDescent="0.2">
      <c r="A403" t="s">
        <v>598</v>
      </c>
      <c r="B403">
        <v>25453</v>
      </c>
      <c r="C403">
        <v>0</v>
      </c>
      <c r="D403">
        <f>IFERROR(VLOOKUP(C403,挂机玩法规划!$K$2:$L$4,2,FALSE),0)</f>
        <v>0</v>
      </c>
    </row>
    <row r="404" spans="1:4" x14ac:dyDescent="0.2">
      <c r="A404" t="s">
        <v>599</v>
      </c>
      <c r="B404">
        <v>25454</v>
      </c>
      <c r="C404">
        <v>0</v>
      </c>
      <c r="D404">
        <f>IFERROR(VLOOKUP(C404,挂机玩法规划!$K$2:$L$4,2,FALSE),0)</f>
        <v>0</v>
      </c>
    </row>
    <row r="405" spans="1:4" x14ac:dyDescent="0.2">
      <c r="A405" t="s">
        <v>600</v>
      </c>
      <c r="B405">
        <v>25455</v>
      </c>
      <c r="C405">
        <v>0</v>
      </c>
      <c r="D405">
        <f>IFERROR(VLOOKUP(C405,挂机玩法规划!$K$2:$L$4,2,FALSE),0)</f>
        <v>0</v>
      </c>
    </row>
    <row r="406" spans="1:4" x14ac:dyDescent="0.2">
      <c r="A406" t="s">
        <v>601</v>
      </c>
      <c r="B406">
        <v>25456</v>
      </c>
      <c r="C406">
        <v>0</v>
      </c>
      <c r="D406">
        <f>IFERROR(VLOOKUP(C406,挂机玩法规划!$K$2:$L$4,2,FALSE),0)</f>
        <v>0</v>
      </c>
    </row>
    <row r="407" spans="1:4" x14ac:dyDescent="0.2">
      <c r="A407" t="s">
        <v>602</v>
      </c>
      <c r="B407">
        <v>25457</v>
      </c>
      <c r="C407">
        <v>0</v>
      </c>
      <c r="D407">
        <f>IFERROR(VLOOKUP(C407,挂机玩法规划!$K$2:$L$4,2,FALSE),0)</f>
        <v>0</v>
      </c>
    </row>
    <row r="408" spans="1:4" x14ac:dyDescent="0.2">
      <c r="A408" t="s">
        <v>603</v>
      </c>
      <c r="B408">
        <v>25458</v>
      </c>
      <c r="C408">
        <v>0</v>
      </c>
      <c r="D408">
        <f>IFERROR(VLOOKUP(C408,挂机玩法规划!$K$2:$L$4,2,FALSE),0)</f>
        <v>0</v>
      </c>
    </row>
    <row r="409" spans="1:4" x14ac:dyDescent="0.2">
      <c r="A409" t="s">
        <v>604</v>
      </c>
      <c r="B409">
        <v>25459</v>
      </c>
      <c r="C409">
        <v>0</v>
      </c>
      <c r="D409">
        <f>IFERROR(VLOOKUP(C409,挂机玩法规划!$K$2:$L$4,2,FALSE),0)</f>
        <v>0</v>
      </c>
    </row>
    <row r="410" spans="1:4" x14ac:dyDescent="0.2">
      <c r="A410" t="s">
        <v>605</v>
      </c>
      <c r="B410">
        <v>25460</v>
      </c>
      <c r="C410">
        <v>0</v>
      </c>
      <c r="D410">
        <f>IFERROR(VLOOKUP(C410,挂机玩法规划!$K$2:$L$4,2,FALSE),0)</f>
        <v>0</v>
      </c>
    </row>
    <row r="411" spans="1:4" x14ac:dyDescent="0.2">
      <c r="A411" t="s">
        <v>606</v>
      </c>
      <c r="B411">
        <v>25501</v>
      </c>
      <c r="C411">
        <v>0</v>
      </c>
      <c r="D411">
        <f>IFERROR(VLOOKUP(C411,挂机玩法规划!$K$2:$L$4,2,FALSE),0)</f>
        <v>0</v>
      </c>
    </row>
    <row r="412" spans="1:4" x14ac:dyDescent="0.2">
      <c r="A412" t="s">
        <v>607</v>
      </c>
      <c r="B412">
        <v>25502</v>
      </c>
      <c r="C412">
        <v>0</v>
      </c>
      <c r="D412">
        <f>IFERROR(VLOOKUP(C412,挂机玩法规划!$K$2:$L$4,2,FALSE),0)</f>
        <v>0</v>
      </c>
    </row>
    <row r="413" spans="1:4" x14ac:dyDescent="0.2">
      <c r="A413" t="s">
        <v>608</v>
      </c>
      <c r="B413">
        <v>25503</v>
      </c>
      <c r="C413">
        <v>0</v>
      </c>
      <c r="D413">
        <f>IFERROR(VLOOKUP(C413,挂机玩法规划!$K$2:$L$4,2,FALSE),0)</f>
        <v>0</v>
      </c>
    </row>
    <row r="414" spans="1:4" x14ac:dyDescent="0.2">
      <c r="A414" t="s">
        <v>609</v>
      </c>
      <c r="B414">
        <v>25504</v>
      </c>
      <c r="C414">
        <v>0</v>
      </c>
      <c r="D414">
        <f>IFERROR(VLOOKUP(C414,挂机玩法规划!$K$2:$L$4,2,FALSE),0)</f>
        <v>0</v>
      </c>
    </row>
    <row r="415" spans="1:4" x14ac:dyDescent="0.2">
      <c r="A415" t="s">
        <v>610</v>
      </c>
      <c r="B415">
        <v>25505</v>
      </c>
      <c r="C415">
        <v>0</v>
      </c>
      <c r="D415">
        <f>IFERROR(VLOOKUP(C415,挂机玩法规划!$K$2:$L$4,2,FALSE),0)</f>
        <v>0</v>
      </c>
    </row>
    <row r="416" spans="1:4" x14ac:dyDescent="0.2">
      <c r="A416" t="s">
        <v>611</v>
      </c>
      <c r="B416">
        <v>25506</v>
      </c>
      <c r="C416">
        <v>0</v>
      </c>
      <c r="D416">
        <f>IFERROR(VLOOKUP(C416,挂机玩法规划!$K$2:$L$4,2,FALSE),0)</f>
        <v>0</v>
      </c>
    </row>
    <row r="417" spans="1:4" x14ac:dyDescent="0.2">
      <c r="A417" t="s">
        <v>612</v>
      </c>
      <c r="B417">
        <v>25507</v>
      </c>
      <c r="C417">
        <v>0</v>
      </c>
      <c r="D417">
        <f>IFERROR(VLOOKUP(C417,挂机玩法规划!$K$2:$L$4,2,FALSE),0)</f>
        <v>0</v>
      </c>
    </row>
    <row r="418" spans="1:4" x14ac:dyDescent="0.2">
      <c r="A418" t="s">
        <v>613</v>
      </c>
      <c r="B418">
        <v>25508</v>
      </c>
      <c r="C418">
        <v>0</v>
      </c>
      <c r="D418">
        <f>IFERROR(VLOOKUP(C418,挂机玩法规划!$K$2:$L$4,2,FALSE),0)</f>
        <v>0</v>
      </c>
    </row>
    <row r="419" spans="1:4" x14ac:dyDescent="0.2">
      <c r="A419" t="s">
        <v>614</v>
      </c>
      <c r="B419">
        <v>25509</v>
      </c>
      <c r="C419">
        <v>0</v>
      </c>
      <c r="D419">
        <f>IFERROR(VLOOKUP(C419,挂机玩法规划!$K$2:$L$4,2,FALSE),0)</f>
        <v>0</v>
      </c>
    </row>
    <row r="420" spans="1:4" x14ac:dyDescent="0.2">
      <c r="A420" t="s">
        <v>615</v>
      </c>
      <c r="B420">
        <v>25510</v>
      </c>
      <c r="C420">
        <v>0</v>
      </c>
      <c r="D420">
        <f>IFERROR(VLOOKUP(C420,挂机玩法规划!$K$2:$L$4,2,FALSE),0)</f>
        <v>0</v>
      </c>
    </row>
    <row r="421" spans="1:4" x14ac:dyDescent="0.2">
      <c r="A421" t="s">
        <v>616</v>
      </c>
      <c r="B421">
        <v>25551</v>
      </c>
      <c r="C421">
        <v>0</v>
      </c>
      <c r="D421">
        <f>IFERROR(VLOOKUP(C421,挂机玩法规划!$K$2:$L$4,2,FALSE),0)</f>
        <v>0</v>
      </c>
    </row>
    <row r="422" spans="1:4" x14ac:dyDescent="0.2">
      <c r="A422" t="s">
        <v>617</v>
      </c>
      <c r="B422">
        <v>25552</v>
      </c>
      <c r="C422">
        <v>0</v>
      </c>
      <c r="D422">
        <f>IFERROR(VLOOKUP(C422,挂机玩法规划!$K$2:$L$4,2,FALSE),0)</f>
        <v>0</v>
      </c>
    </row>
    <row r="423" spans="1:4" x14ac:dyDescent="0.2">
      <c r="A423" t="s">
        <v>618</v>
      </c>
      <c r="B423">
        <v>25553</v>
      </c>
      <c r="C423">
        <v>0</v>
      </c>
      <c r="D423">
        <f>IFERROR(VLOOKUP(C423,挂机玩法规划!$K$2:$L$4,2,FALSE),0)</f>
        <v>0</v>
      </c>
    </row>
    <row r="424" spans="1:4" x14ac:dyDescent="0.2">
      <c r="A424" t="s">
        <v>619</v>
      </c>
      <c r="B424">
        <v>25554</v>
      </c>
      <c r="C424">
        <v>0</v>
      </c>
      <c r="D424">
        <f>IFERROR(VLOOKUP(C424,挂机玩法规划!$K$2:$L$4,2,FALSE),0)</f>
        <v>0</v>
      </c>
    </row>
    <row r="425" spans="1:4" x14ac:dyDescent="0.2">
      <c r="A425" t="s">
        <v>620</v>
      </c>
      <c r="B425">
        <v>25555</v>
      </c>
      <c r="C425">
        <v>0</v>
      </c>
      <c r="D425">
        <f>IFERROR(VLOOKUP(C425,挂机玩法规划!$K$2:$L$4,2,FALSE),0)</f>
        <v>0</v>
      </c>
    </row>
    <row r="426" spans="1:4" x14ac:dyDescent="0.2">
      <c r="A426" t="s">
        <v>621</v>
      </c>
      <c r="B426">
        <v>25556</v>
      </c>
      <c r="C426">
        <v>0</v>
      </c>
      <c r="D426">
        <f>IFERROR(VLOOKUP(C426,挂机玩法规划!$K$2:$L$4,2,FALSE),0)</f>
        <v>0</v>
      </c>
    </row>
    <row r="427" spans="1:4" x14ac:dyDescent="0.2">
      <c r="A427" t="s">
        <v>622</v>
      </c>
      <c r="B427">
        <v>25557</v>
      </c>
      <c r="C427">
        <v>0</v>
      </c>
      <c r="D427">
        <f>IFERROR(VLOOKUP(C427,挂机玩法规划!$K$2:$L$4,2,FALSE),0)</f>
        <v>0</v>
      </c>
    </row>
    <row r="428" spans="1:4" x14ac:dyDescent="0.2">
      <c r="A428" t="s">
        <v>623</v>
      </c>
      <c r="B428">
        <v>25558</v>
      </c>
      <c r="C428">
        <v>0</v>
      </c>
      <c r="D428">
        <f>IFERROR(VLOOKUP(C428,挂机玩法规划!$K$2:$L$4,2,FALSE),0)</f>
        <v>0</v>
      </c>
    </row>
    <row r="429" spans="1:4" x14ac:dyDescent="0.2">
      <c r="A429" t="s">
        <v>624</v>
      </c>
      <c r="B429">
        <v>25559</v>
      </c>
      <c r="C429">
        <v>0</v>
      </c>
      <c r="D429">
        <f>IFERROR(VLOOKUP(C429,挂机玩法规划!$K$2:$L$4,2,FALSE),0)</f>
        <v>0</v>
      </c>
    </row>
    <row r="430" spans="1:4" x14ac:dyDescent="0.2">
      <c r="A430" t="s">
        <v>625</v>
      </c>
      <c r="B430">
        <v>25560</v>
      </c>
      <c r="C430">
        <v>0</v>
      </c>
      <c r="D430">
        <f>IFERROR(VLOOKUP(C430,挂机玩法规划!$K$2:$L$4,2,FALSE),0)</f>
        <v>0</v>
      </c>
    </row>
    <row r="431" spans="1:4" x14ac:dyDescent="0.2">
      <c r="A431" t="s">
        <v>626</v>
      </c>
      <c r="B431">
        <v>23201</v>
      </c>
      <c r="C431">
        <v>0</v>
      </c>
      <c r="D431">
        <f>IFERROR(VLOOKUP(C431,挂机玩法规划!$K$2:$L$4,2,FALSE),0)</f>
        <v>0</v>
      </c>
    </row>
    <row r="432" spans="1:4" x14ac:dyDescent="0.2">
      <c r="A432" t="s">
        <v>627</v>
      </c>
      <c r="B432">
        <v>23202</v>
      </c>
      <c r="C432">
        <v>0</v>
      </c>
      <c r="D432">
        <f>IFERROR(VLOOKUP(C432,挂机玩法规划!$K$2:$L$4,2,FALSE),0)</f>
        <v>0</v>
      </c>
    </row>
    <row r="433" spans="1:4" x14ac:dyDescent="0.2">
      <c r="A433" t="s">
        <v>628</v>
      </c>
      <c r="B433">
        <v>23203</v>
      </c>
      <c r="C433">
        <v>0</v>
      </c>
      <c r="D433">
        <f>IFERROR(VLOOKUP(C433,挂机玩法规划!$K$2:$L$4,2,FALSE),0)</f>
        <v>0</v>
      </c>
    </row>
    <row r="434" spans="1:4" x14ac:dyDescent="0.2">
      <c r="A434" t="s">
        <v>629</v>
      </c>
      <c r="B434">
        <v>23204</v>
      </c>
      <c r="C434">
        <v>0</v>
      </c>
      <c r="D434">
        <f>IFERROR(VLOOKUP(C434,挂机玩法规划!$K$2:$L$4,2,FALSE),0)</f>
        <v>0</v>
      </c>
    </row>
    <row r="435" spans="1:4" x14ac:dyDescent="0.2">
      <c r="A435" t="s">
        <v>630</v>
      </c>
      <c r="B435">
        <v>23205</v>
      </c>
      <c r="C435">
        <v>0</v>
      </c>
      <c r="D435">
        <f>IFERROR(VLOOKUP(C435,挂机玩法规划!$K$2:$L$4,2,FALSE),0)</f>
        <v>0</v>
      </c>
    </row>
    <row r="436" spans="1:4" x14ac:dyDescent="0.2">
      <c r="A436" t="s">
        <v>631</v>
      </c>
      <c r="B436">
        <v>23206</v>
      </c>
      <c r="C436">
        <v>0</v>
      </c>
      <c r="D436">
        <f>IFERROR(VLOOKUP(C436,挂机玩法规划!$K$2:$L$4,2,FALSE),0)</f>
        <v>0</v>
      </c>
    </row>
    <row r="437" spans="1:4" x14ac:dyDescent="0.2">
      <c r="A437" t="s">
        <v>632</v>
      </c>
      <c r="B437">
        <v>23207</v>
      </c>
      <c r="C437">
        <v>0</v>
      </c>
      <c r="D437">
        <f>IFERROR(VLOOKUP(C437,挂机玩法规划!$K$2:$L$4,2,FALSE),0)</f>
        <v>0</v>
      </c>
    </row>
    <row r="438" spans="1:4" x14ac:dyDescent="0.2">
      <c r="A438" t="s">
        <v>633</v>
      </c>
      <c r="B438">
        <v>23208</v>
      </c>
      <c r="C438">
        <v>0</v>
      </c>
      <c r="D438">
        <f>IFERROR(VLOOKUP(C438,挂机玩法规划!$K$2:$L$4,2,FALSE),0)</f>
        <v>0</v>
      </c>
    </row>
    <row r="439" spans="1:4" x14ac:dyDescent="0.2">
      <c r="A439" t="s">
        <v>634</v>
      </c>
      <c r="B439">
        <v>23209</v>
      </c>
      <c r="C439">
        <v>0</v>
      </c>
      <c r="D439">
        <f>IFERROR(VLOOKUP(C439,挂机玩法规划!$K$2:$L$4,2,FALSE),0)</f>
        <v>0</v>
      </c>
    </row>
    <row r="440" spans="1:4" x14ac:dyDescent="0.2">
      <c r="A440" t="s">
        <v>635</v>
      </c>
      <c r="B440">
        <v>24201</v>
      </c>
      <c r="C440">
        <v>0</v>
      </c>
      <c r="D440">
        <f>IFERROR(VLOOKUP(C440,挂机玩法规划!$K$2:$L$4,2,FALSE),0)</f>
        <v>0</v>
      </c>
    </row>
    <row r="441" spans="1:4" x14ac:dyDescent="0.2">
      <c r="A441" t="s">
        <v>636</v>
      </c>
      <c r="B441">
        <v>24202</v>
      </c>
      <c r="C441">
        <v>0</v>
      </c>
      <c r="D441">
        <f>IFERROR(VLOOKUP(C441,挂机玩法规划!$K$2:$L$4,2,FALSE),0)</f>
        <v>0</v>
      </c>
    </row>
    <row r="442" spans="1:4" x14ac:dyDescent="0.2">
      <c r="A442" t="s">
        <v>637</v>
      </c>
      <c r="B442">
        <v>24203</v>
      </c>
      <c r="C442">
        <v>0</v>
      </c>
      <c r="D442">
        <f>IFERROR(VLOOKUP(C442,挂机玩法规划!$K$2:$L$4,2,FALSE),0)</f>
        <v>0</v>
      </c>
    </row>
    <row r="443" spans="1:4" x14ac:dyDescent="0.2">
      <c r="A443" t="s">
        <v>638</v>
      </c>
      <c r="B443">
        <v>24204</v>
      </c>
      <c r="C443">
        <v>0</v>
      </c>
      <c r="D443">
        <f>IFERROR(VLOOKUP(C443,挂机玩法规划!$K$2:$L$4,2,FALSE),0)</f>
        <v>0</v>
      </c>
    </row>
    <row r="444" spans="1:4" x14ac:dyDescent="0.2">
      <c r="A444" t="s">
        <v>639</v>
      </c>
      <c r="B444">
        <v>24205</v>
      </c>
      <c r="C444">
        <v>0</v>
      </c>
      <c r="D444">
        <f>IFERROR(VLOOKUP(C444,挂机玩法规划!$K$2:$L$4,2,FALSE),0)</f>
        <v>0</v>
      </c>
    </row>
    <row r="445" spans="1:4" x14ac:dyDescent="0.2">
      <c r="A445" t="s">
        <v>640</v>
      </c>
      <c r="B445">
        <v>24206</v>
      </c>
      <c r="C445">
        <v>0</v>
      </c>
      <c r="D445">
        <f>IFERROR(VLOOKUP(C445,挂机玩法规划!$K$2:$L$4,2,FALSE),0)</f>
        <v>0</v>
      </c>
    </row>
    <row r="446" spans="1:4" x14ac:dyDescent="0.2">
      <c r="A446" t="s">
        <v>641</v>
      </c>
      <c r="B446">
        <v>24207</v>
      </c>
      <c r="C446">
        <v>0</v>
      </c>
      <c r="D446">
        <f>IFERROR(VLOOKUP(C446,挂机玩法规划!$K$2:$L$4,2,FALSE),0)</f>
        <v>0</v>
      </c>
    </row>
    <row r="447" spans="1:4" x14ac:dyDescent="0.2">
      <c r="A447" t="s">
        <v>642</v>
      </c>
      <c r="B447">
        <v>24208</v>
      </c>
      <c r="C447">
        <v>0</v>
      </c>
      <c r="D447">
        <f>IFERROR(VLOOKUP(C447,挂机玩法规划!$K$2:$L$4,2,FALSE),0)</f>
        <v>0</v>
      </c>
    </row>
    <row r="448" spans="1:4" x14ac:dyDescent="0.2">
      <c r="C448">
        <v>0</v>
      </c>
      <c r="D448">
        <f>IFERROR(VLOOKUP(C448,挂机玩法规划!$K$2:$L$4,2,FALSE),0)</f>
        <v>0</v>
      </c>
    </row>
    <row r="449" spans="1:4" x14ac:dyDescent="0.2">
      <c r="A449" t="s">
        <v>643</v>
      </c>
      <c r="B449">
        <v>150101</v>
      </c>
      <c r="C449">
        <v>0</v>
      </c>
      <c r="D449">
        <f>IFERROR(VLOOKUP(C449,挂机玩法规划!$K$2:$L$4,2,FALSE),0)</f>
        <v>0</v>
      </c>
    </row>
    <row r="450" spans="1:4" x14ac:dyDescent="0.2">
      <c r="A450" t="s">
        <v>644</v>
      </c>
      <c r="B450">
        <v>150102</v>
      </c>
      <c r="C450">
        <v>0</v>
      </c>
      <c r="D450">
        <f>IFERROR(VLOOKUP(C450,挂机玩法规划!$K$2:$L$4,2,FALSE),0)</f>
        <v>0</v>
      </c>
    </row>
    <row r="451" spans="1:4" x14ac:dyDescent="0.2">
      <c r="A451" t="s">
        <v>645</v>
      </c>
      <c r="B451">
        <v>150103</v>
      </c>
      <c r="C451">
        <v>0</v>
      </c>
      <c r="D451">
        <f>IFERROR(VLOOKUP(C451,挂机玩法规划!$K$2:$L$4,2,FALSE),0)</f>
        <v>0</v>
      </c>
    </row>
    <row r="452" spans="1:4" x14ac:dyDescent="0.2">
      <c r="A452" t="s">
        <v>646</v>
      </c>
      <c r="B452">
        <v>150104</v>
      </c>
      <c r="C452">
        <v>0</v>
      </c>
      <c r="D452">
        <f>IFERROR(VLOOKUP(C452,挂机玩法规划!$K$2:$L$4,2,FALSE),0)</f>
        <v>0</v>
      </c>
    </row>
    <row r="453" spans="1:4" x14ac:dyDescent="0.2">
      <c r="A453" t="s">
        <v>647</v>
      </c>
      <c r="B453">
        <v>150105</v>
      </c>
      <c r="C453">
        <v>0</v>
      </c>
      <c r="D453">
        <f>IFERROR(VLOOKUP(C453,挂机玩法规划!$K$2:$L$4,2,FALSE),0)</f>
        <v>0</v>
      </c>
    </row>
    <row r="454" spans="1:4" x14ac:dyDescent="0.2">
      <c r="A454" t="s">
        <v>648</v>
      </c>
      <c r="B454">
        <v>150106</v>
      </c>
      <c r="C454">
        <v>0</v>
      </c>
      <c r="D454">
        <f>IFERROR(VLOOKUP(C454,挂机玩法规划!$K$2:$L$4,2,FALSE),0)</f>
        <v>0</v>
      </c>
    </row>
    <row r="455" spans="1:4" x14ac:dyDescent="0.2">
      <c r="A455" t="s">
        <v>649</v>
      </c>
      <c r="B455">
        <v>150107</v>
      </c>
      <c r="C455">
        <v>0</v>
      </c>
      <c r="D455">
        <f>IFERROR(VLOOKUP(C455,挂机玩法规划!$K$2:$L$4,2,FALSE),0)</f>
        <v>0</v>
      </c>
    </row>
    <row r="456" spans="1:4" x14ac:dyDescent="0.2">
      <c r="A456" t="s">
        <v>650</v>
      </c>
      <c r="B456">
        <v>130102</v>
      </c>
      <c r="C456">
        <v>0</v>
      </c>
      <c r="D456">
        <f>IFERROR(VLOOKUP(C456,挂机玩法规划!$K$2:$L$4,2,FALSE),0)</f>
        <v>0</v>
      </c>
    </row>
    <row r="457" spans="1:4" x14ac:dyDescent="0.2">
      <c r="A457" t="s">
        <v>651</v>
      </c>
      <c r="B457">
        <v>130103</v>
      </c>
      <c r="C457">
        <v>0</v>
      </c>
      <c r="D457">
        <f>IFERROR(VLOOKUP(C457,挂机玩法规划!$K$2:$L$4,2,FALSE),0)</f>
        <v>0</v>
      </c>
    </row>
    <row r="458" spans="1:4" x14ac:dyDescent="0.2">
      <c r="A458" t="s">
        <v>652</v>
      </c>
      <c r="B458">
        <v>130104</v>
      </c>
      <c r="C458">
        <v>0</v>
      </c>
      <c r="D458">
        <f>IFERROR(VLOOKUP(C458,挂机玩法规划!$K$2:$L$4,2,FALSE),0)</f>
        <v>0</v>
      </c>
    </row>
    <row r="459" spans="1:4" x14ac:dyDescent="0.2">
      <c r="A459" t="s">
        <v>653</v>
      </c>
      <c r="B459">
        <v>130105</v>
      </c>
      <c r="C459">
        <v>0</v>
      </c>
      <c r="D459">
        <f>IFERROR(VLOOKUP(C459,挂机玩法规划!$K$2:$L$4,2,FALSE),0)</f>
        <v>0</v>
      </c>
    </row>
    <row r="460" spans="1:4" x14ac:dyDescent="0.2">
      <c r="A460" t="s">
        <v>654</v>
      </c>
      <c r="B460">
        <v>130106</v>
      </c>
      <c r="C460">
        <v>0</v>
      </c>
      <c r="D460">
        <f>IFERROR(VLOOKUP(C460,挂机玩法规划!$K$2:$L$4,2,FALSE),0)</f>
        <v>0</v>
      </c>
    </row>
    <row r="461" spans="1:4" x14ac:dyDescent="0.2">
      <c r="A461" t="s">
        <v>655</v>
      </c>
      <c r="B461">
        <v>130107</v>
      </c>
      <c r="C461">
        <v>0</v>
      </c>
      <c r="D461">
        <f>IFERROR(VLOOKUP(C461,挂机玩法规划!$K$2:$L$4,2,FALSE),0)</f>
        <v>0</v>
      </c>
    </row>
    <row r="462" spans="1:4" x14ac:dyDescent="0.2">
      <c r="A462" t="s">
        <v>656</v>
      </c>
      <c r="B462">
        <v>130108</v>
      </c>
      <c r="C462">
        <v>0</v>
      </c>
      <c r="D462">
        <f>IFERROR(VLOOKUP(C462,挂机玩法规划!$K$2:$L$4,2,FALSE),0)</f>
        <v>0</v>
      </c>
    </row>
    <row r="463" spans="1:4" x14ac:dyDescent="0.2">
      <c r="A463" t="s">
        <v>657</v>
      </c>
      <c r="B463">
        <v>110101</v>
      </c>
      <c r="C463">
        <v>0</v>
      </c>
      <c r="D463">
        <f>IFERROR(VLOOKUP(C463,挂机玩法规划!$K$2:$L$4,2,FALSE),0)</f>
        <v>0</v>
      </c>
    </row>
    <row r="464" spans="1:4" x14ac:dyDescent="0.2">
      <c r="A464" t="s">
        <v>658</v>
      </c>
      <c r="B464">
        <v>110102</v>
      </c>
      <c r="C464">
        <v>0</v>
      </c>
      <c r="D464">
        <f>IFERROR(VLOOKUP(C464,挂机玩法规划!$K$2:$L$4,2,FALSE),0)</f>
        <v>0</v>
      </c>
    </row>
    <row r="465" spans="1:4" x14ac:dyDescent="0.2">
      <c r="A465" t="s">
        <v>659</v>
      </c>
      <c r="B465">
        <v>110103</v>
      </c>
      <c r="C465">
        <v>0</v>
      </c>
      <c r="D465">
        <f>IFERROR(VLOOKUP(C465,挂机玩法规划!$K$2:$L$4,2,FALSE),0)</f>
        <v>0</v>
      </c>
    </row>
    <row r="466" spans="1:4" x14ac:dyDescent="0.2">
      <c r="A466" t="s">
        <v>660</v>
      </c>
      <c r="B466">
        <v>110104</v>
      </c>
      <c r="C466">
        <v>0</v>
      </c>
      <c r="D466">
        <f>IFERROR(VLOOKUP(C466,挂机玩法规划!$K$2:$L$4,2,FALSE),0)</f>
        <v>0</v>
      </c>
    </row>
    <row r="467" spans="1:4" x14ac:dyDescent="0.2">
      <c r="A467" t="s">
        <v>661</v>
      </c>
      <c r="B467">
        <v>110105</v>
      </c>
      <c r="C467">
        <v>0</v>
      </c>
      <c r="D467">
        <f>IFERROR(VLOOKUP(C467,挂机玩法规划!$K$2:$L$4,2,FALSE),0)</f>
        <v>0</v>
      </c>
    </row>
    <row r="468" spans="1:4" x14ac:dyDescent="0.2">
      <c r="A468" t="s">
        <v>662</v>
      </c>
      <c r="B468">
        <v>120101</v>
      </c>
      <c r="C468">
        <v>0</v>
      </c>
      <c r="D468">
        <f>IFERROR(VLOOKUP(C468,挂机玩法规划!$K$2:$L$4,2,FALSE),0)</f>
        <v>0</v>
      </c>
    </row>
    <row r="469" spans="1:4" x14ac:dyDescent="0.2">
      <c r="A469" t="s">
        <v>663</v>
      </c>
      <c r="B469">
        <v>120102</v>
      </c>
      <c r="C469">
        <v>0</v>
      </c>
      <c r="D469">
        <f>IFERROR(VLOOKUP(C469,挂机玩法规划!$K$2:$L$4,2,FALSE),0)</f>
        <v>0</v>
      </c>
    </row>
    <row r="470" spans="1:4" x14ac:dyDescent="0.2">
      <c r="A470" t="s">
        <v>664</v>
      </c>
      <c r="B470">
        <v>120103</v>
      </c>
      <c r="C470">
        <v>0</v>
      </c>
      <c r="D470">
        <f>IFERROR(VLOOKUP(C470,挂机玩法规划!$K$2:$L$4,2,FALSE),0)</f>
        <v>0</v>
      </c>
    </row>
    <row r="471" spans="1:4" x14ac:dyDescent="0.2">
      <c r="A471" t="s">
        <v>665</v>
      </c>
      <c r="B471">
        <v>120104</v>
      </c>
      <c r="C471">
        <v>0</v>
      </c>
      <c r="D471">
        <f>IFERROR(VLOOKUP(C471,挂机玩法规划!$K$2:$L$4,2,FALSE),0)</f>
        <v>0</v>
      </c>
    </row>
    <row r="472" spans="1:4" x14ac:dyDescent="0.2">
      <c r="A472" t="s">
        <v>666</v>
      </c>
      <c r="B472">
        <v>120201</v>
      </c>
      <c r="C472">
        <v>0</v>
      </c>
      <c r="D472">
        <f>IFERROR(VLOOKUP(C472,挂机玩法规划!$K$2:$L$4,2,FALSE),0)</f>
        <v>0</v>
      </c>
    </row>
    <row r="473" spans="1:4" x14ac:dyDescent="0.2">
      <c r="A473" t="s">
        <v>667</v>
      </c>
      <c r="B473">
        <v>120202</v>
      </c>
      <c r="C473">
        <v>0</v>
      </c>
      <c r="D473">
        <f>IFERROR(VLOOKUP(C473,挂机玩法规划!$K$2:$L$4,2,FALSE),0)</f>
        <v>0</v>
      </c>
    </row>
    <row r="474" spans="1:4" x14ac:dyDescent="0.2">
      <c r="A474" t="s">
        <v>668</v>
      </c>
      <c r="B474">
        <v>120203</v>
      </c>
      <c r="C474">
        <v>0</v>
      </c>
      <c r="D474">
        <f>IFERROR(VLOOKUP(C474,挂机玩法规划!$K$2:$L$4,2,FALSE),0)</f>
        <v>0</v>
      </c>
    </row>
    <row r="475" spans="1:4" x14ac:dyDescent="0.2">
      <c r="A475" t="s">
        <v>669</v>
      </c>
      <c r="B475">
        <v>120204</v>
      </c>
      <c r="C475">
        <v>0</v>
      </c>
      <c r="D475">
        <f>IFERROR(VLOOKUP(C475,挂机玩法规划!$K$2:$L$4,2,FALSE),0)</f>
        <v>0</v>
      </c>
    </row>
    <row r="476" spans="1:4" x14ac:dyDescent="0.2">
      <c r="A476" t="s">
        <v>670</v>
      </c>
      <c r="B476">
        <v>120301</v>
      </c>
      <c r="C476">
        <v>0</v>
      </c>
      <c r="D476">
        <f>IFERROR(VLOOKUP(C476,挂机玩法规划!$K$2:$L$4,2,FALSE),0)</f>
        <v>0</v>
      </c>
    </row>
    <row r="477" spans="1:4" x14ac:dyDescent="0.2">
      <c r="A477" t="s">
        <v>671</v>
      </c>
      <c r="B477">
        <v>120302</v>
      </c>
      <c r="C477">
        <v>0</v>
      </c>
      <c r="D477">
        <f>IFERROR(VLOOKUP(C477,挂机玩法规划!$K$2:$L$4,2,FALSE),0)</f>
        <v>0</v>
      </c>
    </row>
    <row r="478" spans="1:4" x14ac:dyDescent="0.2">
      <c r="A478" t="s">
        <v>672</v>
      </c>
      <c r="B478">
        <v>120303</v>
      </c>
      <c r="C478">
        <v>0</v>
      </c>
      <c r="D478">
        <f>IFERROR(VLOOKUP(C478,挂机玩法规划!$K$2:$L$4,2,FALSE),0)</f>
        <v>0</v>
      </c>
    </row>
    <row r="479" spans="1:4" x14ac:dyDescent="0.2">
      <c r="A479" t="s">
        <v>673</v>
      </c>
      <c r="B479">
        <v>120304</v>
      </c>
      <c r="C479">
        <v>0</v>
      </c>
      <c r="D479">
        <f>IFERROR(VLOOKUP(C479,挂机玩法规划!$K$2:$L$4,2,FALSE),0)</f>
        <v>0</v>
      </c>
    </row>
    <row r="480" spans="1:4" x14ac:dyDescent="0.2">
      <c r="A480" t="s">
        <v>674</v>
      </c>
      <c r="B480">
        <v>180001</v>
      </c>
      <c r="C480">
        <v>0</v>
      </c>
      <c r="D480">
        <f>IFERROR(VLOOKUP(C480,挂机玩法规划!$K$2:$L$4,2,FALSE),0)</f>
        <v>0</v>
      </c>
    </row>
    <row r="481" spans="1:4" x14ac:dyDescent="0.2">
      <c r="A481" t="s">
        <v>675</v>
      </c>
      <c r="B481">
        <v>180002</v>
      </c>
      <c r="C481">
        <v>0</v>
      </c>
      <c r="D481">
        <f>IFERROR(VLOOKUP(C481,挂机玩法规划!$K$2:$L$4,2,FALSE),0)</f>
        <v>0</v>
      </c>
    </row>
    <row r="482" spans="1:4" x14ac:dyDescent="0.2">
      <c r="A482" t="s">
        <v>676</v>
      </c>
      <c r="B482">
        <v>180003</v>
      </c>
      <c r="C482">
        <v>0</v>
      </c>
      <c r="D482">
        <f>IFERROR(VLOOKUP(C482,挂机玩法规划!$K$2:$L$4,2,FALSE),0)</f>
        <v>0</v>
      </c>
    </row>
    <row r="483" spans="1:4" x14ac:dyDescent="0.2">
      <c r="A483" t="s">
        <v>677</v>
      </c>
      <c r="B483">
        <v>180004</v>
      </c>
      <c r="C483">
        <v>0</v>
      </c>
      <c r="D483">
        <f>IFERROR(VLOOKUP(C483,挂机玩法规划!$K$2:$L$4,2,FALSE),0)</f>
        <v>0</v>
      </c>
    </row>
    <row r="484" spans="1:4" x14ac:dyDescent="0.2">
      <c r="A484" t="s">
        <v>678</v>
      </c>
      <c r="B484">
        <v>180005</v>
      </c>
      <c r="C484">
        <v>0</v>
      </c>
      <c r="D484">
        <f>IFERROR(VLOOKUP(C484,挂机玩法规划!$K$2:$L$4,2,FALSE),0)</f>
        <v>0</v>
      </c>
    </row>
    <row r="485" spans="1:4" x14ac:dyDescent="0.2">
      <c r="A485" t="s">
        <v>679</v>
      </c>
      <c r="B485">
        <v>180006</v>
      </c>
      <c r="C485">
        <v>0</v>
      </c>
      <c r="D485">
        <f>IFERROR(VLOOKUP(C485,挂机玩法规划!$K$2:$L$4,2,FALSE),0)</f>
        <v>0</v>
      </c>
    </row>
    <row r="486" spans="1:4" x14ac:dyDescent="0.2">
      <c r="A486" t="s">
        <v>680</v>
      </c>
      <c r="B486">
        <v>180007</v>
      </c>
      <c r="C486">
        <v>0</v>
      </c>
      <c r="D486">
        <f>IFERROR(VLOOKUP(C486,挂机玩法规划!$K$2:$L$4,2,FALSE),0)</f>
        <v>0</v>
      </c>
    </row>
    <row r="487" spans="1:4" x14ac:dyDescent="0.2">
      <c r="A487" t="s">
        <v>681</v>
      </c>
      <c r="B487">
        <v>180008</v>
      </c>
      <c r="C487">
        <v>0</v>
      </c>
      <c r="D487">
        <f>IFERROR(VLOOKUP(C487,挂机玩法规划!$K$2:$L$4,2,FALSE),0)</f>
        <v>0</v>
      </c>
    </row>
    <row r="488" spans="1:4" x14ac:dyDescent="0.2">
      <c r="A488" t="s">
        <v>682</v>
      </c>
      <c r="B488">
        <v>180009</v>
      </c>
      <c r="C488">
        <v>0</v>
      </c>
      <c r="D488">
        <f>IFERROR(VLOOKUP(C488,挂机玩法规划!$K$2:$L$4,2,FALSE),0)</f>
        <v>0</v>
      </c>
    </row>
    <row r="489" spans="1:4" x14ac:dyDescent="0.2">
      <c r="A489" t="s">
        <v>683</v>
      </c>
      <c r="B489">
        <v>180010</v>
      </c>
      <c r="C489">
        <v>0</v>
      </c>
      <c r="D489">
        <f>IFERROR(VLOOKUP(C489,挂机玩法规划!$K$2:$L$4,2,FALSE),0)</f>
        <v>0</v>
      </c>
    </row>
    <row r="490" spans="1:4" x14ac:dyDescent="0.2">
      <c r="A490" t="s">
        <v>684</v>
      </c>
      <c r="B490">
        <v>180013</v>
      </c>
      <c r="C490">
        <v>0</v>
      </c>
      <c r="D490">
        <f>IFERROR(VLOOKUP(C490,挂机玩法规划!$K$2:$L$4,2,FALSE),0)</f>
        <v>0</v>
      </c>
    </row>
    <row r="491" spans="1:4" x14ac:dyDescent="0.2">
      <c r="A491" t="s">
        <v>685</v>
      </c>
      <c r="B491">
        <v>180014</v>
      </c>
      <c r="C491">
        <v>0</v>
      </c>
      <c r="D491">
        <f>IFERROR(VLOOKUP(C491,挂机玩法规划!$K$2:$L$4,2,FALSE),0)</f>
        <v>0</v>
      </c>
    </row>
    <row r="492" spans="1:4" x14ac:dyDescent="0.2">
      <c r="A492" t="s">
        <v>686</v>
      </c>
      <c r="B492">
        <v>180015</v>
      </c>
      <c r="C492">
        <v>0</v>
      </c>
      <c r="D492">
        <f>IFERROR(VLOOKUP(C492,挂机玩法规划!$K$2:$L$4,2,FALSE),0)</f>
        <v>0</v>
      </c>
    </row>
    <row r="493" spans="1:4" x14ac:dyDescent="0.2">
      <c r="A493" t="s">
        <v>687</v>
      </c>
      <c r="B493">
        <v>180016</v>
      </c>
      <c r="C493">
        <v>0</v>
      </c>
      <c r="D493">
        <f>IFERROR(VLOOKUP(C493,挂机玩法规划!$K$2:$L$4,2,FALSE),0)</f>
        <v>0</v>
      </c>
    </row>
    <row r="494" spans="1:4" x14ac:dyDescent="0.2">
      <c r="A494" t="s">
        <v>688</v>
      </c>
      <c r="B494">
        <v>190001</v>
      </c>
      <c r="C494">
        <v>0</v>
      </c>
      <c r="D494">
        <f>IFERROR(VLOOKUP(C494,挂机玩法规划!$K$2:$L$4,2,FALSE),0)</f>
        <v>0</v>
      </c>
    </row>
    <row r="495" spans="1:4" x14ac:dyDescent="0.2">
      <c r="A495" t="s">
        <v>689</v>
      </c>
      <c r="B495">
        <v>190002</v>
      </c>
      <c r="C495">
        <v>0</v>
      </c>
      <c r="D495">
        <f>IFERROR(VLOOKUP(C495,挂机玩法规划!$K$2:$L$4,2,FALSE),0)</f>
        <v>0</v>
      </c>
    </row>
    <row r="496" spans="1:4" x14ac:dyDescent="0.2">
      <c r="A496" t="s">
        <v>690</v>
      </c>
      <c r="B496">
        <v>190003</v>
      </c>
      <c r="C496">
        <v>0</v>
      </c>
      <c r="D496">
        <f>IFERROR(VLOOKUP(C496,挂机玩法规划!$K$2:$L$4,2,FALSE),0)</f>
        <v>0</v>
      </c>
    </row>
    <row r="497" spans="1:4" x14ac:dyDescent="0.2">
      <c r="A497" t="s">
        <v>691</v>
      </c>
      <c r="B497">
        <v>113</v>
      </c>
      <c r="C497">
        <v>0</v>
      </c>
      <c r="D497">
        <f>IFERROR(VLOOKUP(C497,挂机玩法规划!$K$2:$L$4,2,FALSE),0)</f>
        <v>0</v>
      </c>
    </row>
    <row r="498" spans="1:4" x14ac:dyDescent="0.2">
      <c r="A498" t="s">
        <v>692</v>
      </c>
      <c r="B498">
        <v>140101</v>
      </c>
      <c r="C498">
        <v>0</v>
      </c>
      <c r="D498">
        <f>IFERROR(VLOOKUP(C498,挂机玩法规划!$K$2:$L$4,2,FALSE),0)</f>
        <v>0</v>
      </c>
    </row>
    <row r="499" spans="1:4" x14ac:dyDescent="0.2">
      <c r="A499" t="s">
        <v>693</v>
      </c>
      <c r="B499">
        <v>140102</v>
      </c>
      <c r="C499">
        <v>0</v>
      </c>
      <c r="D499">
        <f>IFERROR(VLOOKUP(C499,挂机玩法规划!$K$2:$L$4,2,FALSE),0)</f>
        <v>0</v>
      </c>
    </row>
    <row r="500" spans="1:4" x14ac:dyDescent="0.2">
      <c r="A500" t="s">
        <v>694</v>
      </c>
      <c r="B500">
        <v>140103</v>
      </c>
      <c r="C500">
        <v>0</v>
      </c>
      <c r="D500">
        <f>IFERROR(VLOOKUP(C500,挂机玩法规划!$K$2:$L$4,2,FALSE),0)</f>
        <v>0</v>
      </c>
    </row>
    <row r="501" spans="1:4" x14ac:dyDescent="0.2">
      <c r="A501" t="s">
        <v>695</v>
      </c>
      <c r="B501">
        <v>140104</v>
      </c>
      <c r="C501">
        <v>0</v>
      </c>
      <c r="D501">
        <f>IFERROR(VLOOKUP(C501,挂机玩法规划!$K$2:$L$4,2,FALSE),0)</f>
        <v>0</v>
      </c>
    </row>
    <row r="502" spans="1:4" x14ac:dyDescent="0.2">
      <c r="A502" t="s">
        <v>696</v>
      </c>
      <c r="B502">
        <v>140105</v>
      </c>
      <c r="C502">
        <v>0</v>
      </c>
      <c r="D502">
        <f>IFERROR(VLOOKUP(C502,挂机玩法规划!$K$2:$L$4,2,FALSE),0)</f>
        <v>0</v>
      </c>
    </row>
    <row r="503" spans="1:4" x14ac:dyDescent="0.2">
      <c r="A503" t="s">
        <v>697</v>
      </c>
      <c r="B503">
        <v>140106</v>
      </c>
      <c r="C503">
        <v>0</v>
      </c>
      <c r="D503">
        <f>IFERROR(VLOOKUP(C503,挂机玩法规划!$K$2:$L$4,2,FALSE),0)</f>
        <v>0</v>
      </c>
    </row>
    <row r="504" spans="1:4" x14ac:dyDescent="0.2">
      <c r="A504" t="s">
        <v>698</v>
      </c>
      <c r="B504">
        <v>140107</v>
      </c>
      <c r="C504">
        <v>0</v>
      </c>
      <c r="D504">
        <f>IFERROR(VLOOKUP(C504,挂机玩法规划!$K$2:$L$4,2,FALSE),0)</f>
        <v>0</v>
      </c>
    </row>
    <row r="505" spans="1:4" x14ac:dyDescent="0.2">
      <c r="A505" t="s">
        <v>699</v>
      </c>
      <c r="B505">
        <v>140108</v>
      </c>
      <c r="C505">
        <v>0</v>
      </c>
      <c r="D505">
        <f>IFERROR(VLOOKUP(C505,挂机玩法规划!$K$2:$L$4,2,FALSE),0)</f>
        <v>0</v>
      </c>
    </row>
    <row r="506" spans="1:4" x14ac:dyDescent="0.2">
      <c r="A506" t="s">
        <v>700</v>
      </c>
      <c r="B506">
        <v>140109</v>
      </c>
      <c r="C506">
        <v>0</v>
      </c>
      <c r="D506">
        <f>IFERROR(VLOOKUP(C506,挂机玩法规划!$K$2:$L$4,2,FALSE),0)</f>
        <v>0</v>
      </c>
    </row>
    <row r="507" spans="1:4" x14ac:dyDescent="0.2">
      <c r="A507" t="s">
        <v>701</v>
      </c>
      <c r="B507">
        <v>140110</v>
      </c>
      <c r="C507">
        <v>0</v>
      </c>
      <c r="D507">
        <f>IFERROR(VLOOKUP(C507,挂机玩法规划!$K$2:$L$4,2,FALSE),0)</f>
        <v>0</v>
      </c>
    </row>
    <row r="508" spans="1:4" x14ac:dyDescent="0.2">
      <c r="A508" t="s">
        <v>702</v>
      </c>
      <c r="B508">
        <v>140111</v>
      </c>
      <c r="C508">
        <v>0</v>
      </c>
      <c r="D508">
        <f>IFERROR(VLOOKUP(C508,挂机玩法规划!$K$2:$L$4,2,FALSE),0)</f>
        <v>0</v>
      </c>
    </row>
    <row r="509" spans="1:4" x14ac:dyDescent="0.2">
      <c r="A509" t="s">
        <v>703</v>
      </c>
      <c r="B509">
        <v>140112</v>
      </c>
      <c r="C509">
        <v>0</v>
      </c>
      <c r="D509">
        <f>IFERROR(VLOOKUP(C509,挂机玩法规划!$K$2:$L$4,2,FALSE),0)</f>
        <v>0</v>
      </c>
    </row>
    <row r="510" spans="1:4" x14ac:dyDescent="0.2">
      <c r="A510" t="s">
        <v>704</v>
      </c>
      <c r="B510">
        <v>140113</v>
      </c>
      <c r="C510">
        <v>0</v>
      </c>
      <c r="D510">
        <f>IFERROR(VLOOKUP(C510,挂机玩法规划!$K$2:$L$4,2,FALSE),0)</f>
        <v>0</v>
      </c>
    </row>
    <row r="511" spans="1:4" x14ac:dyDescent="0.2">
      <c r="A511" t="s">
        <v>705</v>
      </c>
      <c r="B511">
        <v>140114</v>
      </c>
      <c r="C511">
        <v>0</v>
      </c>
      <c r="D511">
        <f>IFERROR(VLOOKUP(C511,挂机玩法规划!$K$2:$L$4,2,FALSE),0)</f>
        <v>0</v>
      </c>
    </row>
    <row r="512" spans="1:4" x14ac:dyDescent="0.2">
      <c r="A512" t="s">
        <v>706</v>
      </c>
      <c r="B512">
        <v>180017</v>
      </c>
      <c r="C512">
        <v>0</v>
      </c>
      <c r="D512">
        <f>IFERROR(VLOOKUP(C512,挂机玩法规划!$K$2:$L$4,2,FALSE),0)</f>
        <v>0</v>
      </c>
    </row>
    <row r="513" spans="1:4" x14ac:dyDescent="0.2">
      <c r="A513" t="s">
        <v>707</v>
      </c>
      <c r="B513">
        <v>180018</v>
      </c>
      <c r="C513">
        <v>0</v>
      </c>
      <c r="D513">
        <f>IFERROR(VLOOKUP(C513,挂机玩法规划!$K$2:$L$4,2,FALSE),0)</f>
        <v>0</v>
      </c>
    </row>
    <row r="514" spans="1:4" x14ac:dyDescent="0.2">
      <c r="A514" t="s">
        <v>708</v>
      </c>
      <c r="B514">
        <v>180020</v>
      </c>
      <c r="C514">
        <v>0</v>
      </c>
      <c r="D514">
        <f>IFERROR(VLOOKUP(C514,挂机玩法规划!$K$2:$L$4,2,FALSE),0)</f>
        <v>0</v>
      </c>
    </row>
    <row r="515" spans="1:4" x14ac:dyDescent="0.2">
      <c r="A515" t="s">
        <v>709</v>
      </c>
      <c r="B515">
        <v>180021</v>
      </c>
      <c r="C515">
        <v>0</v>
      </c>
      <c r="D515">
        <f>IFERROR(VLOOKUP(C515,挂机玩法规划!$K$2:$L$4,2,FALSE),0)</f>
        <v>0</v>
      </c>
    </row>
    <row r="516" spans="1:4" x14ac:dyDescent="0.2">
      <c r="A516" t="s">
        <v>710</v>
      </c>
      <c r="B516">
        <v>180023</v>
      </c>
      <c r="C516">
        <v>0</v>
      </c>
      <c r="D516">
        <f>IFERROR(VLOOKUP(C516,挂机玩法规划!$K$2:$L$4,2,FALSE),0)</f>
        <v>0</v>
      </c>
    </row>
    <row r="517" spans="1:4" x14ac:dyDescent="0.2">
      <c r="A517" t="s">
        <v>711</v>
      </c>
      <c r="B517">
        <v>180024</v>
      </c>
      <c r="C517">
        <v>0</v>
      </c>
      <c r="D517">
        <f>IFERROR(VLOOKUP(C517,挂机玩法规划!$K$2:$L$4,2,FALSE),0)</f>
        <v>0</v>
      </c>
    </row>
    <row r="518" spans="1:4" x14ac:dyDescent="0.2">
      <c r="A518" t="s">
        <v>712</v>
      </c>
      <c r="B518">
        <v>112</v>
      </c>
      <c r="C518">
        <v>0</v>
      </c>
      <c r="D518">
        <f>IFERROR(VLOOKUP(C518,挂机玩法规划!$K$2:$L$4,2,FALSE),0)</f>
        <v>0</v>
      </c>
    </row>
    <row r="519" spans="1:4" x14ac:dyDescent="0.2">
      <c r="A519" t="s">
        <v>713</v>
      </c>
      <c r="B519">
        <v>220001</v>
      </c>
      <c r="C519">
        <v>0</v>
      </c>
      <c r="D519">
        <f>IFERROR(VLOOKUP(C519,挂机玩法规划!$K$2:$L$4,2,FALSE),0)</f>
        <v>0</v>
      </c>
    </row>
    <row r="520" spans="1:4" x14ac:dyDescent="0.2">
      <c r="A520" t="s">
        <v>714</v>
      </c>
      <c r="B520">
        <v>220002</v>
      </c>
      <c r="C520">
        <v>0</v>
      </c>
      <c r="D520">
        <f>IFERROR(VLOOKUP(C520,挂机玩法规划!$K$2:$L$4,2,FALSE),0)</f>
        <v>0</v>
      </c>
    </row>
    <row r="521" spans="1:4" x14ac:dyDescent="0.2">
      <c r="A521" t="s">
        <v>715</v>
      </c>
      <c r="B521">
        <v>220003</v>
      </c>
      <c r="C521">
        <v>0</v>
      </c>
      <c r="D521">
        <f>IFERROR(VLOOKUP(C521,挂机玩法规划!$K$2:$L$4,2,FALSE),0)</f>
        <v>0</v>
      </c>
    </row>
    <row r="522" spans="1:4" x14ac:dyDescent="0.2">
      <c r="A522" t="s">
        <v>716</v>
      </c>
      <c r="B522">
        <v>220004</v>
      </c>
      <c r="C522">
        <v>0</v>
      </c>
      <c r="D522">
        <f>IFERROR(VLOOKUP(C522,挂机玩法规划!$K$2:$L$4,2,FALSE),0)</f>
        <v>0</v>
      </c>
    </row>
    <row r="523" spans="1:4" x14ac:dyDescent="0.2">
      <c r="A523" t="s">
        <v>717</v>
      </c>
      <c r="B523">
        <v>220005</v>
      </c>
      <c r="C523">
        <v>0</v>
      </c>
      <c r="D523">
        <f>IFERROR(VLOOKUP(C523,挂机玩法规划!$K$2:$L$4,2,FALSE),0)</f>
        <v>0</v>
      </c>
    </row>
    <row r="524" spans="1:4" x14ac:dyDescent="0.2">
      <c r="A524" t="s">
        <v>718</v>
      </c>
      <c r="B524">
        <v>220006</v>
      </c>
      <c r="C524">
        <v>0</v>
      </c>
      <c r="D524">
        <f>IFERROR(VLOOKUP(C524,挂机玩法规划!$K$2:$L$4,2,FALSE),0)</f>
        <v>0</v>
      </c>
    </row>
    <row r="525" spans="1:4" x14ac:dyDescent="0.2">
      <c r="A525" t="s">
        <v>719</v>
      </c>
      <c r="B525">
        <v>220007</v>
      </c>
      <c r="C525">
        <v>0</v>
      </c>
      <c r="D525">
        <f>IFERROR(VLOOKUP(C525,挂机玩法规划!$K$2:$L$4,2,FALSE),0)</f>
        <v>0</v>
      </c>
    </row>
    <row r="526" spans="1:4" x14ac:dyDescent="0.2">
      <c r="A526" t="s">
        <v>720</v>
      </c>
      <c r="B526">
        <v>220008</v>
      </c>
      <c r="C526">
        <v>0</v>
      </c>
      <c r="D526">
        <f>IFERROR(VLOOKUP(C526,挂机玩法规划!$K$2:$L$4,2,FALSE),0)</f>
        <v>0</v>
      </c>
    </row>
    <row r="527" spans="1:4" x14ac:dyDescent="0.2">
      <c r="A527" t="s">
        <v>721</v>
      </c>
      <c r="B527">
        <v>220009</v>
      </c>
      <c r="C527">
        <v>0</v>
      </c>
      <c r="D527">
        <f>IFERROR(VLOOKUP(C527,挂机玩法规划!$K$2:$L$4,2,FALSE),0)</f>
        <v>0</v>
      </c>
    </row>
    <row r="528" spans="1:4" x14ac:dyDescent="0.2">
      <c r="A528" t="s">
        <v>722</v>
      </c>
      <c r="B528">
        <v>180027</v>
      </c>
      <c r="C528">
        <v>0</v>
      </c>
      <c r="D528">
        <f>IFERROR(VLOOKUP(C528,挂机玩法规划!$K$2:$L$4,2,FALSE),0)</f>
        <v>0</v>
      </c>
    </row>
    <row r="529" spans="1:4" x14ac:dyDescent="0.2">
      <c r="A529" t="s">
        <v>723</v>
      </c>
      <c r="B529">
        <v>150108</v>
      </c>
      <c r="C529">
        <v>0</v>
      </c>
      <c r="D529">
        <f>IFERROR(VLOOKUP(C529,挂机玩法规划!$K$2:$L$4,2,FALSE),0)</f>
        <v>0</v>
      </c>
    </row>
    <row r="530" spans="1:4" x14ac:dyDescent="0.2">
      <c r="A530" t="s">
        <v>724</v>
      </c>
      <c r="B530">
        <v>150109</v>
      </c>
      <c r="C530">
        <v>0</v>
      </c>
      <c r="D530">
        <f>IFERROR(VLOOKUP(C530,挂机玩法规划!$K$2:$L$4,2,FALSE),0)</f>
        <v>0</v>
      </c>
    </row>
    <row r="531" spans="1:4" x14ac:dyDescent="0.2">
      <c r="A531" t="s">
        <v>725</v>
      </c>
      <c r="B531">
        <v>110106</v>
      </c>
      <c r="C531">
        <v>0</v>
      </c>
      <c r="D531">
        <f>IFERROR(VLOOKUP(C531,挂机玩法规划!$K$2:$L$4,2,FALSE),0)</f>
        <v>0</v>
      </c>
    </row>
    <row r="532" spans="1:4" x14ac:dyDescent="0.2">
      <c r="A532" t="s">
        <v>726</v>
      </c>
      <c r="B532">
        <v>170101</v>
      </c>
      <c r="C532">
        <v>0</v>
      </c>
      <c r="D532">
        <f>IFERROR(VLOOKUP(C532,挂机玩法规划!$K$2:$L$4,2,FALSE),0)</f>
        <v>0</v>
      </c>
    </row>
    <row r="533" spans="1:4" x14ac:dyDescent="0.2">
      <c r="A533" t="s">
        <v>108</v>
      </c>
      <c r="B533">
        <v>40001</v>
      </c>
      <c r="C533">
        <v>0</v>
      </c>
      <c r="D533">
        <f>IFERROR(VLOOKUP(C533,挂机玩法规划!$K$2:$L$4,2,FALSE),0)</f>
        <v>0</v>
      </c>
    </row>
    <row r="534" spans="1:4" x14ac:dyDescent="0.2">
      <c r="A534" t="s">
        <v>109</v>
      </c>
      <c r="B534">
        <v>40002</v>
      </c>
      <c r="C534">
        <v>0</v>
      </c>
      <c r="D534">
        <f>IFERROR(VLOOKUP(C534,挂机玩法规划!$K$2:$L$4,2,FALSE),0)</f>
        <v>0</v>
      </c>
    </row>
    <row r="535" spans="1:4" x14ac:dyDescent="0.2">
      <c r="A535" t="s">
        <v>110</v>
      </c>
      <c r="B535">
        <v>40003</v>
      </c>
      <c r="C535">
        <v>0</v>
      </c>
      <c r="D535">
        <f>IFERROR(VLOOKUP(C535,挂机玩法规划!$K$2:$L$4,2,FALSE),0)</f>
        <v>0</v>
      </c>
    </row>
    <row r="536" spans="1:4" x14ac:dyDescent="0.2">
      <c r="A536" t="s">
        <v>111</v>
      </c>
      <c r="B536">
        <v>40004</v>
      </c>
      <c r="C536">
        <v>0</v>
      </c>
      <c r="D536">
        <f>IFERROR(VLOOKUP(C536,挂机玩法规划!$K$2:$L$4,2,FALSE),0)</f>
        <v>0</v>
      </c>
    </row>
    <row r="537" spans="1:4" x14ac:dyDescent="0.2">
      <c r="A537" t="s">
        <v>112</v>
      </c>
      <c r="B537">
        <v>40005</v>
      </c>
      <c r="C537">
        <v>0</v>
      </c>
      <c r="D537">
        <f>IFERROR(VLOOKUP(C537,挂机玩法规划!$K$2:$L$4,2,FALSE),0)</f>
        <v>0</v>
      </c>
    </row>
    <row r="538" spans="1:4" x14ac:dyDescent="0.2">
      <c r="A538" t="s">
        <v>727</v>
      </c>
      <c r="B538">
        <v>220010</v>
      </c>
      <c r="C538">
        <v>0</v>
      </c>
      <c r="D538">
        <f>IFERROR(VLOOKUP(C538,挂机玩法规划!$K$2:$L$4,2,FALSE),0)</f>
        <v>0</v>
      </c>
    </row>
    <row r="539" spans="1:4" x14ac:dyDescent="0.2">
      <c r="A539" t="s">
        <v>728</v>
      </c>
      <c r="B539">
        <v>220011</v>
      </c>
      <c r="C539">
        <v>0</v>
      </c>
      <c r="D539">
        <f>IFERROR(VLOOKUP(C539,挂机玩法规划!$K$2:$L$4,2,FALSE),0)</f>
        <v>0</v>
      </c>
    </row>
    <row r="540" spans="1:4" x14ac:dyDescent="0.2">
      <c r="A540" t="s">
        <v>729</v>
      </c>
      <c r="B540">
        <v>220012</v>
      </c>
      <c r="C540">
        <v>0</v>
      </c>
      <c r="D540">
        <f>IFERROR(VLOOKUP(C540,挂机玩法规划!$K$2:$L$4,2,FALSE),0)</f>
        <v>0</v>
      </c>
    </row>
    <row r="541" spans="1:4" x14ac:dyDescent="0.2">
      <c r="A541" t="s">
        <v>730</v>
      </c>
      <c r="B541">
        <v>220013</v>
      </c>
      <c r="C541">
        <v>0</v>
      </c>
      <c r="D541">
        <f>IFERROR(VLOOKUP(C541,挂机玩法规划!$K$2:$L$4,2,FALSE),0)</f>
        <v>0</v>
      </c>
    </row>
    <row r="542" spans="1:4" x14ac:dyDescent="0.2">
      <c r="A542" t="s">
        <v>731</v>
      </c>
      <c r="B542">
        <v>220014</v>
      </c>
      <c r="C542">
        <v>0</v>
      </c>
      <c r="D542">
        <f>IFERROR(VLOOKUP(C542,挂机玩法规划!$K$2:$L$4,2,FALSE),0)</f>
        <v>0</v>
      </c>
    </row>
    <row r="543" spans="1:4" x14ac:dyDescent="0.2">
      <c r="A543" t="s">
        <v>732</v>
      </c>
      <c r="B543">
        <v>220015</v>
      </c>
      <c r="C543">
        <v>0</v>
      </c>
      <c r="D543">
        <f>IFERROR(VLOOKUP(C543,挂机玩法规划!$K$2:$L$4,2,FALSE),0)</f>
        <v>0</v>
      </c>
    </row>
    <row r="544" spans="1:4" x14ac:dyDescent="0.2">
      <c r="A544" t="s">
        <v>733</v>
      </c>
      <c r="B544">
        <v>140121</v>
      </c>
      <c r="C544">
        <v>0</v>
      </c>
      <c r="D544">
        <f>IFERROR(VLOOKUP(C544,挂机玩法规划!$K$2:$L$4,2,FALSE),0)</f>
        <v>0</v>
      </c>
    </row>
    <row r="545" spans="1:4" x14ac:dyDescent="0.2">
      <c r="A545" t="s">
        <v>734</v>
      </c>
      <c r="B545">
        <v>140122</v>
      </c>
      <c r="C545">
        <v>0</v>
      </c>
      <c r="D545">
        <f>IFERROR(VLOOKUP(C545,挂机玩法规划!$K$2:$L$4,2,FALSE),0)</f>
        <v>0</v>
      </c>
    </row>
    <row r="546" spans="1:4" x14ac:dyDescent="0.2">
      <c r="A546" t="s">
        <v>735</v>
      </c>
      <c r="B546">
        <v>130112</v>
      </c>
      <c r="C546">
        <v>0</v>
      </c>
      <c r="D546">
        <f>IFERROR(VLOOKUP(C546,挂机玩法规划!$K$2:$L$4,2,FALSE),0)</f>
        <v>0</v>
      </c>
    </row>
    <row r="547" spans="1:4" x14ac:dyDescent="0.2">
      <c r="A547" t="s">
        <v>736</v>
      </c>
      <c r="B547">
        <v>130113</v>
      </c>
      <c r="C547">
        <v>0</v>
      </c>
      <c r="D547">
        <f>IFERROR(VLOOKUP(C547,挂机玩法规划!$K$2:$L$4,2,FALSE),0)</f>
        <v>0</v>
      </c>
    </row>
    <row r="548" spans="1:4" x14ac:dyDescent="0.2">
      <c r="A548" t="s">
        <v>737</v>
      </c>
      <c r="B548">
        <v>20019</v>
      </c>
      <c r="C548">
        <v>0</v>
      </c>
      <c r="D548">
        <f>IFERROR(VLOOKUP(C548,挂机玩法规划!$K$2:$L$4,2,FALSE),0)</f>
        <v>0</v>
      </c>
    </row>
    <row r="549" spans="1:4" x14ac:dyDescent="0.2">
      <c r="A549" t="s">
        <v>734</v>
      </c>
      <c r="B549">
        <v>140122</v>
      </c>
      <c r="C549">
        <v>0</v>
      </c>
      <c r="D549">
        <f>IFERROR(VLOOKUP(C549,挂机玩法规划!$K$2:$L$4,2,FALSE),0)</f>
        <v>0</v>
      </c>
    </row>
    <row r="550" spans="1:4" x14ac:dyDescent="0.2">
      <c r="A550" t="s">
        <v>738</v>
      </c>
      <c r="B550">
        <v>140123</v>
      </c>
      <c r="C550">
        <v>0</v>
      </c>
      <c r="D550">
        <f>IFERROR(VLOOKUP(C550,挂机玩法规划!$K$2:$L$4,2,FALSE),0)</f>
        <v>0</v>
      </c>
    </row>
    <row r="551" spans="1:4" x14ac:dyDescent="0.2">
      <c r="A551" t="s">
        <v>739</v>
      </c>
      <c r="B551">
        <v>140124</v>
      </c>
      <c r="C551">
        <v>0</v>
      </c>
      <c r="D551">
        <f>IFERROR(VLOOKUP(C551,挂机玩法规划!$K$2:$L$4,2,FALSE),0)</f>
        <v>0</v>
      </c>
    </row>
    <row r="552" spans="1:4" x14ac:dyDescent="0.2">
      <c r="A552" t="s">
        <v>740</v>
      </c>
      <c r="B552">
        <v>140125</v>
      </c>
      <c r="C552">
        <v>0</v>
      </c>
      <c r="D552">
        <f>IFERROR(VLOOKUP(C552,挂机玩法规划!$K$2:$L$4,2,FALSE),0)</f>
        <v>0</v>
      </c>
    </row>
    <row r="553" spans="1:4" x14ac:dyDescent="0.2">
      <c r="A553" t="s">
        <v>741</v>
      </c>
      <c r="B553">
        <v>140126</v>
      </c>
      <c r="C553">
        <v>0</v>
      </c>
      <c r="D553">
        <f>IFERROR(VLOOKUP(C553,挂机玩法规划!$K$2:$L$4,2,FALSE),0)</f>
        <v>0</v>
      </c>
    </row>
    <row r="554" spans="1:4" x14ac:dyDescent="0.2">
      <c r="A554" t="s">
        <v>742</v>
      </c>
      <c r="B554">
        <v>140127</v>
      </c>
      <c r="C554">
        <v>0</v>
      </c>
      <c r="D554">
        <f>IFERROR(VLOOKUP(C554,挂机玩法规划!$K$2:$L$4,2,FALSE),0)</f>
        <v>0</v>
      </c>
    </row>
    <row r="555" spans="1:4" x14ac:dyDescent="0.2">
      <c r="A555" t="s">
        <v>743</v>
      </c>
      <c r="B555">
        <v>130114</v>
      </c>
      <c r="C555">
        <v>0</v>
      </c>
      <c r="D555">
        <f>IFERROR(VLOOKUP(C555,挂机玩法规划!$K$2:$L$4,2,FALSE),0)</f>
        <v>0</v>
      </c>
    </row>
    <row r="556" spans="1:4" x14ac:dyDescent="0.2">
      <c r="A556" t="s">
        <v>744</v>
      </c>
      <c r="B556">
        <v>130115</v>
      </c>
      <c r="C556">
        <v>0</v>
      </c>
      <c r="D556">
        <f>IFERROR(VLOOKUP(C556,挂机玩法规划!$K$2:$L$4,2,FALSE),0)</f>
        <v>0</v>
      </c>
    </row>
    <row r="557" spans="1:4" x14ac:dyDescent="0.2">
      <c r="A557" t="s">
        <v>745</v>
      </c>
      <c r="B557">
        <v>130116</v>
      </c>
      <c r="C557">
        <v>0</v>
      </c>
      <c r="D557">
        <f>IFERROR(VLOOKUP(C557,挂机玩法规划!$K$2:$L$4,2,FALSE),0)</f>
        <v>0</v>
      </c>
    </row>
    <row r="558" spans="1:4" x14ac:dyDescent="0.2">
      <c r="A558" t="s">
        <v>746</v>
      </c>
      <c r="B558">
        <v>130117</v>
      </c>
      <c r="C558">
        <v>0</v>
      </c>
      <c r="D558">
        <f>IFERROR(VLOOKUP(C558,挂机玩法规划!$K$2:$L$4,2,FALSE),0)</f>
        <v>0</v>
      </c>
    </row>
    <row r="559" spans="1:4" x14ac:dyDescent="0.2">
      <c r="A559" t="s">
        <v>747</v>
      </c>
      <c r="B559">
        <v>130118</v>
      </c>
      <c r="C559">
        <v>0</v>
      </c>
      <c r="D559">
        <f>IFERROR(VLOOKUP(C559,挂机玩法规划!$K$2:$L$4,2,FALSE),0)</f>
        <v>0</v>
      </c>
    </row>
    <row r="560" spans="1:4" x14ac:dyDescent="0.2">
      <c r="A560" t="s">
        <v>748</v>
      </c>
      <c r="B560">
        <v>130119</v>
      </c>
      <c r="C560">
        <v>0</v>
      </c>
      <c r="D560">
        <f>IFERROR(VLOOKUP(C560,挂机玩法规划!$K$2:$L$4,2,FALSE),0)</f>
        <v>0</v>
      </c>
    </row>
    <row r="561" spans="1:4" x14ac:dyDescent="0.2">
      <c r="A561" t="s">
        <v>749</v>
      </c>
      <c r="B561">
        <v>130120</v>
      </c>
      <c r="C561">
        <v>0</v>
      </c>
      <c r="D561">
        <f>IFERROR(VLOOKUP(C561,挂机玩法规划!$K$2:$L$4,2,FALSE),0)</f>
        <v>0</v>
      </c>
    </row>
    <row r="562" spans="1:4" x14ac:dyDescent="0.2">
      <c r="A562" t="s">
        <v>750</v>
      </c>
      <c r="B562">
        <v>180035</v>
      </c>
      <c r="C562">
        <v>0</v>
      </c>
      <c r="D562">
        <f>IFERROR(VLOOKUP(C562,挂机玩法规划!$K$2:$L$4,2,FALSE),0)</f>
        <v>0</v>
      </c>
    </row>
    <row r="563" spans="1:4" x14ac:dyDescent="0.2">
      <c r="A563" t="s">
        <v>751</v>
      </c>
      <c r="B563">
        <v>150110</v>
      </c>
      <c r="C563">
        <v>0</v>
      </c>
      <c r="D563">
        <f>IFERROR(VLOOKUP(C563,挂机玩法规划!$K$2:$L$4,2,FALSE),0)</f>
        <v>0</v>
      </c>
    </row>
    <row r="564" spans="1:4" x14ac:dyDescent="0.2">
      <c r="A564" t="s">
        <v>752</v>
      </c>
      <c r="B564">
        <v>150111</v>
      </c>
      <c r="C564">
        <v>0</v>
      </c>
      <c r="D564">
        <f>IFERROR(VLOOKUP(C564,挂机玩法规划!$K$2:$L$4,2,FALSE),0)</f>
        <v>0</v>
      </c>
    </row>
    <row r="565" spans="1:4" x14ac:dyDescent="0.2">
      <c r="A565" t="s">
        <v>753</v>
      </c>
      <c r="B565">
        <v>150112</v>
      </c>
      <c r="C565">
        <v>0</v>
      </c>
      <c r="D565">
        <f>IFERROR(VLOOKUP(C565,挂机玩法规划!$K$2:$L$4,2,FALSE),0)</f>
        <v>0</v>
      </c>
    </row>
    <row r="566" spans="1:4" x14ac:dyDescent="0.2">
      <c r="A566" t="s">
        <v>754</v>
      </c>
      <c r="B566">
        <v>110107</v>
      </c>
      <c r="C566">
        <v>0</v>
      </c>
      <c r="D566">
        <f>IFERROR(VLOOKUP(C566,挂机玩法规划!$K$2:$L$4,2,FALSE),0)</f>
        <v>0</v>
      </c>
    </row>
    <row r="567" spans="1:4" x14ac:dyDescent="0.2">
      <c r="A567" t="s">
        <v>755</v>
      </c>
      <c r="B567">
        <v>110108</v>
      </c>
      <c r="C567">
        <v>0</v>
      </c>
      <c r="D567">
        <f>IFERROR(VLOOKUP(C567,挂机玩法规划!$K$2:$L$4,2,FALSE),0)</f>
        <v>0</v>
      </c>
    </row>
    <row r="568" spans="1:4" x14ac:dyDescent="0.2">
      <c r="A568" t="s">
        <v>756</v>
      </c>
      <c r="B568">
        <v>110109</v>
      </c>
      <c r="C568">
        <v>0</v>
      </c>
      <c r="D568">
        <f>IFERROR(VLOOKUP(C568,挂机玩法规划!$K$2:$L$4,2,FALSE),0)</f>
        <v>0</v>
      </c>
    </row>
    <row r="569" spans="1:4" x14ac:dyDescent="0.2">
      <c r="A569" t="s">
        <v>757</v>
      </c>
      <c r="B569">
        <v>190004</v>
      </c>
      <c r="C569">
        <v>0</v>
      </c>
      <c r="D569">
        <f>IFERROR(VLOOKUP(C569,挂机玩法规划!$K$2:$L$4,2,FALSE),0)</f>
        <v>0</v>
      </c>
    </row>
    <row r="570" spans="1:4" x14ac:dyDescent="0.2">
      <c r="A570" t="s">
        <v>758</v>
      </c>
      <c r="B570">
        <v>190005</v>
      </c>
      <c r="C570">
        <v>0</v>
      </c>
      <c r="D570">
        <f>IFERROR(VLOOKUP(C570,挂机玩法规划!$K$2:$L$4,2,FALSE),0)</f>
        <v>0</v>
      </c>
    </row>
    <row r="571" spans="1:4" x14ac:dyDescent="0.2">
      <c r="A571" t="s">
        <v>759</v>
      </c>
      <c r="B571">
        <v>140128</v>
      </c>
      <c r="C571">
        <v>0</v>
      </c>
      <c r="D571">
        <f>IFERROR(VLOOKUP(C571,挂机玩法规划!$K$2:$L$4,2,FALSE),0)</f>
        <v>0</v>
      </c>
    </row>
    <row r="572" spans="1:4" x14ac:dyDescent="0.2">
      <c r="A572" t="s">
        <v>760</v>
      </c>
      <c r="B572">
        <v>180036</v>
      </c>
      <c r="C572">
        <v>0</v>
      </c>
      <c r="D572">
        <f>IFERROR(VLOOKUP(C572,挂机玩法规划!$K$2:$L$4,2,FALSE),0)</f>
        <v>0</v>
      </c>
    </row>
    <row r="573" spans="1:4" x14ac:dyDescent="0.2">
      <c r="A573" t="s">
        <v>761</v>
      </c>
      <c r="B573">
        <v>240001</v>
      </c>
      <c r="C573">
        <v>0</v>
      </c>
      <c r="D573">
        <f>IFERROR(VLOOKUP(C573,挂机玩法规划!$K$2:$L$4,2,FALSE),0)</f>
        <v>0</v>
      </c>
    </row>
    <row r="574" spans="1:4" x14ac:dyDescent="0.2">
      <c r="A574" t="s">
        <v>762</v>
      </c>
      <c r="B574">
        <v>240002</v>
      </c>
      <c r="C574">
        <v>0</v>
      </c>
      <c r="D574">
        <f>IFERROR(VLOOKUP(C574,挂机玩法规划!$K$2:$L$4,2,FALSE),0)</f>
        <v>0</v>
      </c>
    </row>
    <row r="575" spans="1:4" x14ac:dyDescent="0.2">
      <c r="A575" t="s">
        <v>763</v>
      </c>
      <c r="B575">
        <v>240003</v>
      </c>
      <c r="C575">
        <v>0</v>
      </c>
      <c r="D575">
        <f>IFERROR(VLOOKUP(C575,挂机玩法规划!$K$2:$L$4,2,FALSE),0)</f>
        <v>0</v>
      </c>
    </row>
    <row r="576" spans="1:4" x14ac:dyDescent="0.2">
      <c r="A576" t="s">
        <v>764</v>
      </c>
      <c r="B576">
        <v>240004</v>
      </c>
      <c r="C576">
        <v>0</v>
      </c>
      <c r="D576">
        <f>IFERROR(VLOOKUP(C576,挂机玩法规划!$K$2:$L$4,2,FALSE),0)</f>
        <v>0</v>
      </c>
    </row>
    <row r="577" spans="1:4" x14ac:dyDescent="0.2">
      <c r="A577" t="s">
        <v>765</v>
      </c>
      <c r="B577">
        <v>240005</v>
      </c>
      <c r="C577">
        <v>0</v>
      </c>
      <c r="D577">
        <f>IFERROR(VLOOKUP(C577,挂机玩法规划!$K$2:$L$4,2,FALSE),0)</f>
        <v>0</v>
      </c>
    </row>
    <row r="578" spans="1:4" x14ac:dyDescent="0.2">
      <c r="A578" t="s">
        <v>766</v>
      </c>
      <c r="B578">
        <v>240006</v>
      </c>
      <c r="C578">
        <v>0</v>
      </c>
      <c r="D578">
        <f>IFERROR(VLOOKUP(C578,挂机玩法规划!$K$2:$L$4,2,FALSE),0)</f>
        <v>0</v>
      </c>
    </row>
    <row r="579" spans="1:4" x14ac:dyDescent="0.2">
      <c r="A579" t="s">
        <v>767</v>
      </c>
      <c r="B579">
        <v>240007</v>
      </c>
      <c r="C579">
        <v>0</v>
      </c>
      <c r="D579">
        <f>IFERROR(VLOOKUP(C579,挂机玩法规划!$K$2:$L$4,2,FALSE),0)</f>
        <v>0</v>
      </c>
    </row>
    <row r="580" spans="1:4" x14ac:dyDescent="0.2">
      <c r="A580" t="s">
        <v>768</v>
      </c>
      <c r="B580">
        <v>240008</v>
      </c>
      <c r="C580">
        <v>0</v>
      </c>
      <c r="D580">
        <f>IFERROR(VLOOKUP(C580,挂机玩法规划!$K$2:$L$4,2,FALSE),0)</f>
        <v>0</v>
      </c>
    </row>
    <row r="581" spans="1:4" x14ac:dyDescent="0.2">
      <c r="A581" t="s">
        <v>769</v>
      </c>
      <c r="B581">
        <v>120205</v>
      </c>
      <c r="C581">
        <v>0</v>
      </c>
      <c r="D581">
        <f>IFERROR(VLOOKUP(C581,挂机玩法规划!$K$2:$L$4,2,FALSE),0)</f>
        <v>0</v>
      </c>
    </row>
    <row r="582" spans="1:4" x14ac:dyDescent="0.2">
      <c r="A582" t="s">
        <v>770</v>
      </c>
      <c r="B582">
        <v>120105</v>
      </c>
      <c r="C582">
        <v>0</v>
      </c>
      <c r="D582">
        <f>IFERROR(VLOOKUP(C582,挂机玩法规划!$K$2:$L$4,2,FALSE),0)</f>
        <v>0</v>
      </c>
    </row>
    <row r="583" spans="1:4" x14ac:dyDescent="0.2">
      <c r="A583" t="s">
        <v>771</v>
      </c>
      <c r="B583">
        <v>120305</v>
      </c>
      <c r="C583">
        <v>0</v>
      </c>
      <c r="D583">
        <f>IFERROR(VLOOKUP(C583,挂机玩法规划!$K$2:$L$4,2,FALSE),0)</f>
        <v>0</v>
      </c>
    </row>
    <row r="584" spans="1:4" x14ac:dyDescent="0.2">
      <c r="A584" t="s">
        <v>772</v>
      </c>
      <c r="B584">
        <v>150113</v>
      </c>
      <c r="C584">
        <v>0</v>
      </c>
      <c r="D584">
        <f>IFERROR(VLOOKUP(C584,挂机玩法规划!$K$2:$L$4,2,FALSE),0)</f>
        <v>0</v>
      </c>
    </row>
    <row r="585" spans="1:4" x14ac:dyDescent="0.2">
      <c r="A585" t="s">
        <v>773</v>
      </c>
      <c r="B585">
        <v>150114</v>
      </c>
      <c r="C585">
        <v>0</v>
      </c>
      <c r="D585">
        <f>IFERROR(VLOOKUP(C585,挂机玩法规划!$K$2:$L$4,2,FALSE),0)</f>
        <v>0</v>
      </c>
    </row>
    <row r="586" spans="1:4" x14ac:dyDescent="0.2">
      <c r="A586" t="s">
        <v>774</v>
      </c>
      <c r="B586">
        <v>150115</v>
      </c>
      <c r="C586">
        <v>0</v>
      </c>
      <c r="D586">
        <f>IFERROR(VLOOKUP(C586,挂机玩法规划!$K$2:$L$4,2,FALSE),0)</f>
        <v>0</v>
      </c>
    </row>
    <row r="587" spans="1:4" x14ac:dyDescent="0.2">
      <c r="A587" t="s">
        <v>775</v>
      </c>
      <c r="B587">
        <v>140129</v>
      </c>
      <c r="C587">
        <v>0</v>
      </c>
      <c r="D587">
        <f>IFERROR(VLOOKUP(C587,挂机玩法规划!$K$2:$L$4,2,FALSE),0)</f>
        <v>0</v>
      </c>
    </row>
    <row r="588" spans="1:4" x14ac:dyDescent="0.2">
      <c r="A588" t="s">
        <v>776</v>
      </c>
      <c r="B588">
        <v>140130</v>
      </c>
      <c r="C588">
        <v>0</v>
      </c>
      <c r="D588">
        <f>IFERROR(VLOOKUP(C588,挂机玩法规划!$K$2:$L$4,2,FALSE),0)</f>
        <v>0</v>
      </c>
    </row>
    <row r="589" spans="1:4" x14ac:dyDescent="0.2">
      <c r="A589" t="s">
        <v>777</v>
      </c>
      <c r="B589">
        <v>140131</v>
      </c>
      <c r="C589">
        <v>0</v>
      </c>
      <c r="D589">
        <f>IFERROR(VLOOKUP(C589,挂机玩法规划!$K$2:$L$4,2,FALSE),0)</f>
        <v>0</v>
      </c>
    </row>
    <row r="590" spans="1:4" x14ac:dyDescent="0.2">
      <c r="A590" t="s">
        <v>778</v>
      </c>
      <c r="B590">
        <v>140132</v>
      </c>
      <c r="C590">
        <v>0</v>
      </c>
      <c r="D590">
        <f>IFERROR(VLOOKUP(C590,挂机玩法规划!$K$2:$L$4,2,FALSE),0)</f>
        <v>0</v>
      </c>
    </row>
    <row r="591" spans="1:4" x14ac:dyDescent="0.2">
      <c r="A591" t="s">
        <v>779</v>
      </c>
      <c r="B591">
        <v>140133</v>
      </c>
      <c r="C591">
        <v>0</v>
      </c>
      <c r="D591">
        <f>IFERROR(VLOOKUP(C591,挂机玩法规划!$K$2:$L$4,2,FALSE),0)</f>
        <v>0</v>
      </c>
    </row>
    <row r="592" spans="1:4" x14ac:dyDescent="0.2">
      <c r="A592" t="s">
        <v>780</v>
      </c>
      <c r="B592">
        <v>130121</v>
      </c>
      <c r="C592">
        <v>0</v>
      </c>
      <c r="D592">
        <f>IFERROR(VLOOKUP(C592,挂机玩法规划!$K$2:$L$4,2,FALSE),0)</f>
        <v>0</v>
      </c>
    </row>
    <row r="593" spans="1:10" x14ac:dyDescent="0.2">
      <c r="A593" t="s">
        <v>781</v>
      </c>
      <c r="B593">
        <v>130122</v>
      </c>
      <c r="C593">
        <v>0</v>
      </c>
      <c r="D593">
        <f>IFERROR(VLOOKUP(C593,挂机玩法规划!$K$2:$L$4,2,FALSE),0)</f>
        <v>0</v>
      </c>
    </row>
    <row r="594" spans="1:10" x14ac:dyDescent="0.2">
      <c r="A594" t="s">
        <v>782</v>
      </c>
      <c r="B594">
        <v>130123</v>
      </c>
      <c r="C594">
        <v>0</v>
      </c>
      <c r="D594">
        <f>IFERROR(VLOOKUP(C594,挂机玩法规划!$K$2:$L$4,2,FALSE),0)</f>
        <v>0</v>
      </c>
    </row>
    <row r="595" spans="1:10" x14ac:dyDescent="0.2">
      <c r="A595" t="s">
        <v>783</v>
      </c>
      <c r="B595">
        <v>130124</v>
      </c>
      <c r="C595">
        <v>0</v>
      </c>
      <c r="D595">
        <f>IFERROR(VLOOKUP(C595,挂机玩法规划!$K$2:$L$4,2,FALSE),0)</f>
        <v>0</v>
      </c>
    </row>
    <row r="596" spans="1:10" x14ac:dyDescent="0.2">
      <c r="A596" t="s">
        <v>784</v>
      </c>
      <c r="B596">
        <v>130125</v>
      </c>
      <c r="C596">
        <v>0</v>
      </c>
      <c r="D596">
        <f>IFERROR(VLOOKUP(C596,挂机玩法规划!$K$2:$L$4,2,FALSE),0)</f>
        <v>0</v>
      </c>
    </row>
    <row r="597" spans="1:10" x14ac:dyDescent="0.2">
      <c r="A597" t="s">
        <v>785</v>
      </c>
      <c r="B597">
        <v>110110</v>
      </c>
      <c r="C597">
        <v>0</v>
      </c>
      <c r="D597">
        <f>IFERROR(VLOOKUP(C597,挂机玩法规划!$K$2:$L$4,2,FALSE),0)</f>
        <v>0</v>
      </c>
    </row>
    <row r="598" spans="1:10" x14ac:dyDescent="0.2">
      <c r="A598" t="s">
        <v>786</v>
      </c>
      <c r="B598">
        <v>110111</v>
      </c>
      <c r="C598">
        <v>0</v>
      </c>
      <c r="D598">
        <f>IFERROR(VLOOKUP(C598,挂机玩法规划!$K$2:$L$4,2,FALSE),0)</f>
        <v>0</v>
      </c>
    </row>
    <row r="599" spans="1:10" x14ac:dyDescent="0.2">
      <c r="A599" t="s">
        <v>787</v>
      </c>
      <c r="B599">
        <v>110112</v>
      </c>
      <c r="C599">
        <v>0</v>
      </c>
      <c r="D599">
        <f>IFERROR(VLOOKUP(C599,挂机玩法规划!$K$2:$L$4,2,FALSE),0)</f>
        <v>0</v>
      </c>
    </row>
    <row r="600" spans="1:10" x14ac:dyDescent="0.2">
      <c r="A600" t="s">
        <v>788</v>
      </c>
      <c r="B600">
        <v>180037</v>
      </c>
      <c r="C600">
        <v>0</v>
      </c>
      <c r="D600">
        <f>IFERROR(VLOOKUP(C600,挂机玩法规划!$K$2:$L$4,2,FALSE),0)</f>
        <v>0</v>
      </c>
    </row>
    <row r="601" spans="1:10" x14ac:dyDescent="0.2">
      <c r="A601" t="s">
        <v>789</v>
      </c>
      <c r="B601">
        <v>180038</v>
      </c>
      <c r="C601">
        <v>0</v>
      </c>
      <c r="D601">
        <f>IFERROR(VLOOKUP(C601,挂机玩法规划!$K$2:$L$4,2,FALSE),0)</f>
        <v>0</v>
      </c>
    </row>
    <row r="602" spans="1:10" x14ac:dyDescent="0.2">
      <c r="A602" t="s">
        <v>790</v>
      </c>
      <c r="B602">
        <v>190006</v>
      </c>
      <c r="C602">
        <v>0</v>
      </c>
      <c r="D602">
        <f>IFERROR(VLOOKUP(C602,挂机玩法规划!$K$2:$L$4,2,FALSE),0)</f>
        <v>0</v>
      </c>
    </row>
    <row r="603" spans="1:10" x14ac:dyDescent="0.2">
      <c r="A603" t="s">
        <v>791</v>
      </c>
      <c r="B603">
        <v>190007</v>
      </c>
      <c r="C603">
        <v>0</v>
      </c>
      <c r="D603">
        <f>IFERROR(VLOOKUP(C603,挂机玩法规划!$K$2:$L$4,2,FALSE),0)</f>
        <v>0</v>
      </c>
      <c r="I603" t="s">
        <v>1130</v>
      </c>
      <c r="J603">
        <f>VLOOKUP(I603,A:D,4,FALSE)</f>
        <v>10</v>
      </c>
    </row>
    <row r="604" spans="1:10" x14ac:dyDescent="0.2">
      <c r="A604" t="s">
        <v>792</v>
      </c>
      <c r="B604">
        <v>100202</v>
      </c>
      <c r="C604">
        <v>0</v>
      </c>
      <c r="D604">
        <f>IFERROR(VLOOKUP(C604,挂机玩法规划!$K$2:$L$4,2,FALSE),0)</f>
        <v>0</v>
      </c>
    </row>
    <row r="605" spans="1:10" x14ac:dyDescent="0.2">
      <c r="A605" t="s">
        <v>793</v>
      </c>
      <c r="B605">
        <v>100203</v>
      </c>
      <c r="C605">
        <v>0</v>
      </c>
      <c r="D605">
        <f>IFERROR(VLOOKUP(C605,挂机玩法规划!$K$2:$L$4,2,FALSE),0)</f>
        <v>0</v>
      </c>
    </row>
    <row r="606" spans="1:10" x14ac:dyDescent="0.2">
      <c r="A606" t="s">
        <v>794</v>
      </c>
      <c r="B606">
        <v>100204</v>
      </c>
      <c r="C606">
        <v>0</v>
      </c>
      <c r="D606">
        <f>IFERROR(VLOOKUP(C606,挂机玩法规划!$K$2:$L$4,2,FALSE),0)</f>
        <v>0</v>
      </c>
    </row>
    <row r="607" spans="1:10" x14ac:dyDescent="0.2">
      <c r="A607" t="s">
        <v>795</v>
      </c>
      <c r="B607">
        <v>280001</v>
      </c>
      <c r="C607">
        <v>0</v>
      </c>
      <c r="D607">
        <f>IFERROR(VLOOKUP(C607,挂机玩法规划!$K$2:$L$4,2,FALSE),0)</f>
        <v>0</v>
      </c>
    </row>
    <row r="608" spans="1:10" x14ac:dyDescent="0.2">
      <c r="A608" t="s">
        <v>796</v>
      </c>
      <c r="B608">
        <v>280002</v>
      </c>
      <c r="C608">
        <v>0</v>
      </c>
      <c r="D608">
        <f>IFERROR(VLOOKUP(C608,挂机玩法规划!$K$2:$L$4,2,FALSE),0)</f>
        <v>0</v>
      </c>
    </row>
    <row r="609" spans="1:4" x14ac:dyDescent="0.2">
      <c r="A609" t="s">
        <v>797</v>
      </c>
      <c r="B609">
        <v>280003</v>
      </c>
      <c r="C609">
        <v>0</v>
      </c>
      <c r="D609">
        <f>IFERROR(VLOOKUP(C609,挂机玩法规划!$K$2:$L$4,2,FALSE),0)</f>
        <v>0</v>
      </c>
    </row>
    <row r="610" spans="1:4" x14ac:dyDescent="0.2">
      <c r="A610" t="s">
        <v>798</v>
      </c>
      <c r="B610">
        <v>280004</v>
      </c>
      <c r="C610">
        <v>0</v>
      </c>
      <c r="D610">
        <f>IFERROR(VLOOKUP(C610,挂机玩法规划!$K$2:$L$4,2,FALSE),0)</f>
        <v>0</v>
      </c>
    </row>
    <row r="611" spans="1:4" x14ac:dyDescent="0.2">
      <c r="A611" t="s">
        <v>799</v>
      </c>
      <c r="B611">
        <v>280005</v>
      </c>
      <c r="C611">
        <v>0</v>
      </c>
      <c r="D611">
        <f>IFERROR(VLOOKUP(C611,挂机玩法规划!$K$2:$L$4,2,FALSE),0)</f>
        <v>0</v>
      </c>
    </row>
    <row r="612" spans="1:4" x14ac:dyDescent="0.2">
      <c r="A612" t="s">
        <v>800</v>
      </c>
      <c r="B612">
        <v>280006</v>
      </c>
      <c r="C612">
        <v>0</v>
      </c>
      <c r="D612">
        <f>IFERROR(VLOOKUP(C612,挂机玩法规划!$K$2:$L$4,2,FALSE),0)</f>
        <v>0</v>
      </c>
    </row>
    <row r="613" spans="1:4" x14ac:dyDescent="0.2">
      <c r="A613" t="s">
        <v>108</v>
      </c>
      <c r="B613">
        <v>40001</v>
      </c>
      <c r="C613">
        <v>0</v>
      </c>
      <c r="D613">
        <f>IFERROR(VLOOKUP(C613,挂机玩法规划!$K$2:$L$4,2,FALSE),0)</f>
        <v>0</v>
      </c>
    </row>
    <row r="614" spans="1:4" x14ac:dyDescent="0.2">
      <c r="A614" t="s">
        <v>109</v>
      </c>
      <c r="B614">
        <v>40002</v>
      </c>
      <c r="C614">
        <v>0</v>
      </c>
      <c r="D614">
        <f>IFERROR(VLOOKUP(C614,挂机玩法规划!$K$2:$L$4,2,FALSE),0)</f>
        <v>0</v>
      </c>
    </row>
    <row r="615" spans="1:4" x14ac:dyDescent="0.2">
      <c r="A615" t="s">
        <v>110</v>
      </c>
      <c r="B615">
        <v>40003</v>
      </c>
      <c r="C615">
        <v>0</v>
      </c>
      <c r="D615">
        <f>IFERROR(VLOOKUP(C615,挂机玩法规划!$K$2:$L$4,2,FALSE),0)</f>
        <v>0</v>
      </c>
    </row>
    <row r="616" spans="1:4" x14ac:dyDescent="0.2">
      <c r="A616" t="s">
        <v>111</v>
      </c>
      <c r="B616">
        <v>40004</v>
      </c>
      <c r="C616">
        <v>0</v>
      </c>
      <c r="D616">
        <f>IFERROR(VLOOKUP(C616,挂机玩法规划!$K$2:$L$4,2,FALSE),0)</f>
        <v>0</v>
      </c>
    </row>
    <row r="617" spans="1:4" x14ac:dyDescent="0.2">
      <c r="A617" t="s">
        <v>112</v>
      </c>
      <c r="B617">
        <v>40005</v>
      </c>
      <c r="C617">
        <v>0</v>
      </c>
      <c r="D617">
        <f>IFERROR(VLOOKUP(C617,挂机玩法规划!$K$2:$L$4,2,FALSE),0)</f>
        <v>0</v>
      </c>
    </row>
    <row r="618" spans="1:4" x14ac:dyDescent="0.2">
      <c r="A618" t="s">
        <v>801</v>
      </c>
      <c r="B618">
        <v>40006</v>
      </c>
      <c r="C618">
        <v>0</v>
      </c>
      <c r="D618">
        <f>IFERROR(VLOOKUP(C618,挂机玩法规划!$K$2:$L$4,2,FALSE),0)</f>
        <v>0</v>
      </c>
    </row>
    <row r="619" spans="1:4" x14ac:dyDescent="0.2">
      <c r="A619" t="s">
        <v>802</v>
      </c>
      <c r="B619">
        <v>40007</v>
      </c>
      <c r="C619">
        <v>0</v>
      </c>
      <c r="D619">
        <f>IFERROR(VLOOKUP(C619,挂机玩法规划!$K$2:$L$4,2,FALSE),0)</f>
        <v>0</v>
      </c>
    </row>
    <row r="620" spans="1:4" x14ac:dyDescent="0.2">
      <c r="A620" t="s">
        <v>1130</v>
      </c>
      <c r="B620">
        <v>1111</v>
      </c>
      <c r="C620" t="s">
        <v>1124</v>
      </c>
      <c r="D620">
        <f>IFERROR(VLOOKUP(C620,挂机玩法规划!$K$2:$L$4,2,FALSE),0)</f>
        <v>10</v>
      </c>
    </row>
    <row r="621" spans="1:4" x14ac:dyDescent="0.2">
      <c r="A621" t="s">
        <v>804</v>
      </c>
      <c r="B621">
        <v>1211</v>
      </c>
      <c r="C621" t="s">
        <v>1125</v>
      </c>
      <c r="D621">
        <f>IFERROR(VLOOKUP(C621,挂机玩法规划!$K$2:$L$4,2,FALSE),0)</f>
        <v>20</v>
      </c>
    </row>
    <row r="622" spans="1:4" x14ac:dyDescent="0.2">
      <c r="A622" t="s">
        <v>805</v>
      </c>
      <c r="B622">
        <v>1221</v>
      </c>
      <c r="C622" t="s">
        <v>1125</v>
      </c>
      <c r="D622">
        <f>IFERROR(VLOOKUP(C622,挂机玩法规划!$K$2:$L$4,2,FALSE),0)</f>
        <v>20</v>
      </c>
    </row>
    <row r="623" spans="1:4" x14ac:dyDescent="0.2">
      <c r="A623" t="s">
        <v>806</v>
      </c>
      <c r="B623">
        <v>1311</v>
      </c>
      <c r="C623" t="s">
        <v>1126</v>
      </c>
      <c r="D623">
        <f>IFERROR(VLOOKUP(C623,挂机玩法规划!$K$2:$L$4,2,FALSE),0)</f>
        <v>30</v>
      </c>
    </row>
    <row r="624" spans="1:4" x14ac:dyDescent="0.2">
      <c r="A624" t="s">
        <v>807</v>
      </c>
      <c r="B624">
        <v>1321</v>
      </c>
      <c r="C624" t="s">
        <v>1126</v>
      </c>
      <c r="D624">
        <f>IFERROR(VLOOKUP(C624,挂机玩法规划!$K$2:$L$4,2,FALSE),0)</f>
        <v>30</v>
      </c>
    </row>
    <row r="625" spans="1:4" x14ac:dyDescent="0.2">
      <c r="A625" t="s">
        <v>808</v>
      </c>
      <c r="B625">
        <v>1331</v>
      </c>
      <c r="C625" t="s">
        <v>1126</v>
      </c>
      <c r="D625">
        <f>IFERROR(VLOOKUP(C625,挂机玩法规划!$K$2:$L$4,2,FALSE),0)</f>
        <v>30</v>
      </c>
    </row>
    <row r="626" spans="1:4" x14ac:dyDescent="0.2">
      <c r="A626" t="s">
        <v>809</v>
      </c>
      <c r="B626">
        <v>1341</v>
      </c>
      <c r="C626" t="s">
        <v>1126</v>
      </c>
      <c r="D626">
        <f>IFERROR(VLOOKUP(C626,挂机玩法规划!$K$2:$L$4,2,FALSE),0)</f>
        <v>30</v>
      </c>
    </row>
    <row r="627" spans="1:4" x14ac:dyDescent="0.2">
      <c r="A627" t="s">
        <v>810</v>
      </c>
      <c r="B627">
        <v>1411</v>
      </c>
      <c r="C627" t="s">
        <v>1127</v>
      </c>
      <c r="D627">
        <f>IFERROR(VLOOKUP(C627,挂机玩法规划!$K$2:$L$4,2,FALSE),0)</f>
        <v>0</v>
      </c>
    </row>
    <row r="628" spans="1:4" x14ac:dyDescent="0.2">
      <c r="A628" t="s">
        <v>811</v>
      </c>
      <c r="B628">
        <v>1421</v>
      </c>
      <c r="C628" t="s">
        <v>1127</v>
      </c>
      <c r="D628">
        <f>IFERROR(VLOOKUP(C628,挂机玩法规划!$K$2:$L$4,2,FALSE),0)</f>
        <v>0</v>
      </c>
    </row>
    <row r="629" spans="1:4" x14ac:dyDescent="0.2">
      <c r="A629" t="s">
        <v>812</v>
      </c>
      <c r="B629">
        <v>1431</v>
      </c>
      <c r="C629" t="s">
        <v>1127</v>
      </c>
      <c r="D629">
        <f>IFERROR(VLOOKUP(C629,挂机玩法规划!$K$2:$L$4,2,FALSE),0)</f>
        <v>0</v>
      </c>
    </row>
    <row r="630" spans="1:4" x14ac:dyDescent="0.2">
      <c r="A630" t="s">
        <v>813</v>
      </c>
      <c r="B630">
        <v>1511</v>
      </c>
      <c r="C630" t="s">
        <v>1128</v>
      </c>
      <c r="D630">
        <f>IFERROR(VLOOKUP(C630,挂机玩法规划!$K$2:$L$4,2,FALSE),0)</f>
        <v>0</v>
      </c>
    </row>
    <row r="631" spans="1:4" x14ac:dyDescent="0.2">
      <c r="A631" t="s">
        <v>814</v>
      </c>
      <c r="B631">
        <v>2111</v>
      </c>
      <c r="C631" t="s">
        <v>1124</v>
      </c>
      <c r="D631">
        <f>IFERROR(VLOOKUP(C631,挂机玩法规划!$K$2:$L$4,2,FALSE),0)</f>
        <v>10</v>
      </c>
    </row>
    <row r="632" spans="1:4" x14ac:dyDescent="0.2">
      <c r="A632" t="s">
        <v>815</v>
      </c>
      <c r="B632">
        <v>2211</v>
      </c>
      <c r="C632" t="s">
        <v>1125</v>
      </c>
      <c r="D632">
        <f>IFERROR(VLOOKUP(C632,挂机玩法规划!$K$2:$L$4,2,FALSE),0)</f>
        <v>20</v>
      </c>
    </row>
    <row r="633" spans="1:4" x14ac:dyDescent="0.2">
      <c r="A633" t="s">
        <v>816</v>
      </c>
      <c r="B633">
        <v>2221</v>
      </c>
      <c r="C633" t="s">
        <v>1125</v>
      </c>
      <c r="D633">
        <f>IFERROR(VLOOKUP(C633,挂机玩法规划!$K$2:$L$4,2,FALSE),0)</f>
        <v>20</v>
      </c>
    </row>
    <row r="634" spans="1:4" x14ac:dyDescent="0.2">
      <c r="A634" t="s">
        <v>817</v>
      </c>
      <c r="B634">
        <v>2311</v>
      </c>
      <c r="C634" t="s">
        <v>1126</v>
      </c>
      <c r="D634">
        <f>IFERROR(VLOOKUP(C634,挂机玩法规划!$K$2:$L$4,2,FALSE),0)</f>
        <v>30</v>
      </c>
    </row>
    <row r="635" spans="1:4" x14ac:dyDescent="0.2">
      <c r="A635" t="s">
        <v>818</v>
      </c>
      <c r="B635">
        <v>2321</v>
      </c>
      <c r="C635" t="s">
        <v>1126</v>
      </c>
      <c r="D635">
        <f>IFERROR(VLOOKUP(C635,挂机玩法规划!$K$2:$L$4,2,FALSE),0)</f>
        <v>30</v>
      </c>
    </row>
    <row r="636" spans="1:4" x14ac:dyDescent="0.2">
      <c r="A636" t="s">
        <v>819</v>
      </c>
      <c r="B636">
        <v>2331</v>
      </c>
      <c r="C636" t="s">
        <v>1126</v>
      </c>
      <c r="D636">
        <f>IFERROR(VLOOKUP(C636,挂机玩法规划!$K$2:$L$4,2,FALSE),0)</f>
        <v>30</v>
      </c>
    </row>
    <row r="637" spans="1:4" x14ac:dyDescent="0.2">
      <c r="A637" t="s">
        <v>221</v>
      </c>
      <c r="B637">
        <v>2341</v>
      </c>
      <c r="C637" t="s">
        <v>1126</v>
      </c>
      <c r="D637">
        <f>IFERROR(VLOOKUP(C637,挂机玩法规划!$K$2:$L$4,2,FALSE),0)</f>
        <v>30</v>
      </c>
    </row>
    <row r="638" spans="1:4" x14ac:dyDescent="0.2">
      <c r="A638" t="s">
        <v>820</v>
      </c>
      <c r="B638">
        <v>2411</v>
      </c>
      <c r="C638" t="s">
        <v>1127</v>
      </c>
      <c r="D638">
        <f>IFERROR(VLOOKUP(C638,挂机玩法规划!$K$2:$L$4,2,FALSE),0)</f>
        <v>0</v>
      </c>
    </row>
    <row r="639" spans="1:4" x14ac:dyDescent="0.2">
      <c r="A639" t="s">
        <v>821</v>
      </c>
      <c r="B639">
        <v>2421</v>
      </c>
      <c r="C639" t="s">
        <v>1127</v>
      </c>
      <c r="D639">
        <f>IFERROR(VLOOKUP(C639,挂机玩法规划!$K$2:$L$4,2,FALSE),0)</f>
        <v>0</v>
      </c>
    </row>
    <row r="640" spans="1:4" x14ac:dyDescent="0.2">
      <c r="A640" t="s">
        <v>822</v>
      </c>
      <c r="B640">
        <v>2431</v>
      </c>
      <c r="C640" t="s">
        <v>1127</v>
      </c>
      <c r="D640">
        <f>IFERROR(VLOOKUP(C640,挂机玩法规划!$K$2:$L$4,2,FALSE),0)</f>
        <v>0</v>
      </c>
    </row>
    <row r="641" spans="1:5" x14ac:dyDescent="0.2">
      <c r="A641" t="s">
        <v>823</v>
      </c>
      <c r="B641">
        <v>2511</v>
      </c>
      <c r="C641" t="s">
        <v>1128</v>
      </c>
      <c r="D641">
        <f>IFERROR(VLOOKUP(C641,挂机玩法规划!$K$2:$L$4,2,FALSE),0)</f>
        <v>0</v>
      </c>
    </row>
    <row r="642" spans="1:5" x14ac:dyDescent="0.2">
      <c r="A642" t="s">
        <v>824</v>
      </c>
      <c r="B642">
        <v>3111</v>
      </c>
      <c r="C642" t="s">
        <v>1124</v>
      </c>
      <c r="D642">
        <f>IFERROR(VLOOKUP(C642,挂机玩法规划!$K$2:$L$4,2,FALSE),0)</f>
        <v>10</v>
      </c>
    </row>
    <row r="643" spans="1:5" x14ac:dyDescent="0.2">
      <c r="A643" t="s">
        <v>825</v>
      </c>
      <c r="B643">
        <v>3211</v>
      </c>
      <c r="C643" t="s">
        <v>1125</v>
      </c>
      <c r="D643">
        <f>IFERROR(VLOOKUP(C643,挂机玩法规划!$K$2:$L$4,2,FALSE),0)</f>
        <v>20</v>
      </c>
    </row>
    <row r="644" spans="1:5" x14ac:dyDescent="0.2">
      <c r="A644" t="s">
        <v>826</v>
      </c>
      <c r="B644">
        <v>3221</v>
      </c>
      <c r="C644" t="s">
        <v>1125</v>
      </c>
      <c r="D644">
        <f>IFERROR(VLOOKUP(C644,挂机玩法规划!$K$2:$L$4,2,FALSE),0)</f>
        <v>20</v>
      </c>
    </row>
    <row r="645" spans="1:5" x14ac:dyDescent="0.2">
      <c r="A645" t="s">
        <v>827</v>
      </c>
      <c r="B645">
        <v>3311</v>
      </c>
      <c r="C645" t="s">
        <v>1126</v>
      </c>
      <c r="D645">
        <f>IFERROR(VLOOKUP(C645,挂机玩法规划!$K$2:$L$4,2,FALSE),0)</f>
        <v>30</v>
      </c>
    </row>
    <row r="646" spans="1:5" x14ac:dyDescent="0.2">
      <c r="A646" t="s">
        <v>828</v>
      </c>
      <c r="B646">
        <v>3321</v>
      </c>
      <c r="C646" t="s">
        <v>1126</v>
      </c>
      <c r="D646">
        <f>IFERROR(VLOOKUP(C646,挂机玩法规划!$K$2:$L$4,2,FALSE),0)</f>
        <v>30</v>
      </c>
    </row>
    <row r="647" spans="1:5" x14ac:dyDescent="0.2">
      <c r="A647" t="s">
        <v>829</v>
      </c>
      <c r="B647">
        <v>3331</v>
      </c>
      <c r="C647" t="s">
        <v>1126</v>
      </c>
      <c r="D647">
        <f>IFERROR(VLOOKUP(C647,挂机玩法规划!$K$2:$L$4,2,FALSE),0)</f>
        <v>30</v>
      </c>
    </row>
    <row r="648" spans="1:5" x14ac:dyDescent="0.2">
      <c r="A648" t="s">
        <v>830</v>
      </c>
      <c r="B648">
        <v>3341</v>
      </c>
      <c r="C648" t="s">
        <v>1126</v>
      </c>
      <c r="D648">
        <f>IFERROR(VLOOKUP(C648,挂机玩法规划!$K$2:$L$4,2,FALSE),0)</f>
        <v>30</v>
      </c>
    </row>
    <row r="649" spans="1:5" x14ac:dyDescent="0.2">
      <c r="A649" t="s">
        <v>831</v>
      </c>
      <c r="B649">
        <v>3411</v>
      </c>
      <c r="C649" t="s">
        <v>1127</v>
      </c>
      <c r="D649">
        <f>IFERROR(VLOOKUP(C649,挂机玩法规划!$K$2:$L$4,2,FALSE),0)</f>
        <v>0</v>
      </c>
    </row>
    <row r="650" spans="1:5" x14ac:dyDescent="0.2">
      <c r="A650" t="s">
        <v>832</v>
      </c>
      <c r="B650">
        <v>3421</v>
      </c>
      <c r="C650" t="s">
        <v>1127</v>
      </c>
      <c r="D650">
        <f>IFERROR(VLOOKUP(C650,挂机玩法规划!$K$2:$L$4,2,FALSE),0)</f>
        <v>0</v>
      </c>
    </row>
    <row r="651" spans="1:5" x14ac:dyDescent="0.2">
      <c r="A651" t="s">
        <v>833</v>
      </c>
      <c r="B651">
        <v>3431</v>
      </c>
      <c r="C651" t="s">
        <v>1127</v>
      </c>
      <c r="D651">
        <f>IFERROR(VLOOKUP(C651,挂机玩法规划!$K$2:$L$4,2,FALSE),0)</f>
        <v>0</v>
      </c>
    </row>
    <row r="652" spans="1:5" x14ac:dyDescent="0.2">
      <c r="A652" t="s">
        <v>834</v>
      </c>
      <c r="B652">
        <v>3511</v>
      </c>
      <c r="C652" t="s">
        <v>1128</v>
      </c>
      <c r="D652">
        <f>IFERROR(VLOOKUP(C652,挂机玩法规划!$K$2:$L$4,2,FALSE),0)</f>
        <v>0</v>
      </c>
    </row>
    <row r="653" spans="1:5" x14ac:dyDescent="0.2">
      <c r="A653" t="s">
        <v>836</v>
      </c>
      <c r="B653">
        <v>127</v>
      </c>
      <c r="C653">
        <v>0</v>
      </c>
      <c r="D653">
        <f>IFERROR(VLOOKUP(C653,挂机玩法规划!$K$2:$L$4,2,FALSE),0)</f>
        <v>0</v>
      </c>
    </row>
    <row r="654" spans="1:5" x14ac:dyDescent="0.2">
      <c r="A654" t="s">
        <v>108</v>
      </c>
      <c r="B654">
        <v>40001</v>
      </c>
      <c r="C654">
        <v>0</v>
      </c>
      <c r="D654">
        <f>IFERROR(VLOOKUP(C654,挂机玩法规划!$K$2:$L$4,2,FALSE),0)</f>
        <v>0</v>
      </c>
    </row>
    <row r="655" spans="1:5" x14ac:dyDescent="0.2">
      <c r="A655" t="s">
        <v>802</v>
      </c>
      <c r="B655">
        <v>40007</v>
      </c>
      <c r="C655">
        <v>0</v>
      </c>
      <c r="D655">
        <f>IFERROR(VLOOKUP(C655,挂机玩法规划!$K$2:$L$4,2,FALSE),0)</f>
        <v>0</v>
      </c>
    </row>
    <row r="656" spans="1:5" x14ac:dyDescent="0.2">
      <c r="A656" t="s">
        <v>837</v>
      </c>
      <c r="B656">
        <v>20033</v>
      </c>
      <c r="C656">
        <v>0</v>
      </c>
      <c r="D656">
        <f>IFERROR(VLOOKUP(C656,挂机玩法规划!$K$2:$L$4,2,FALSE),0)</f>
        <v>0</v>
      </c>
      <c r="E656">
        <v>120</v>
      </c>
    </row>
    <row r="657" spans="1:5" x14ac:dyDescent="0.2">
      <c r="A657" t="s">
        <v>838</v>
      </c>
      <c r="B657">
        <v>20034</v>
      </c>
      <c r="C657">
        <v>0</v>
      </c>
      <c r="D657">
        <f>IFERROR(VLOOKUP(C657,挂机玩法规划!$K$2:$L$4,2,FALSE),0)</f>
        <v>0</v>
      </c>
      <c r="E657">
        <v>45</v>
      </c>
    </row>
    <row r="658" spans="1:5" x14ac:dyDescent="0.2">
      <c r="A658" t="s">
        <v>839</v>
      </c>
      <c r="B658">
        <v>20035</v>
      </c>
      <c r="C658">
        <v>0</v>
      </c>
      <c r="D658">
        <f>IFERROR(VLOOKUP(C658,挂机玩法规划!$K$2:$L$4,2,FALSE),0)</f>
        <v>0</v>
      </c>
      <c r="E658">
        <v>30</v>
      </c>
    </row>
    <row r="659" spans="1:5" x14ac:dyDescent="0.2">
      <c r="A659" t="s">
        <v>840</v>
      </c>
      <c r="B659">
        <v>20036</v>
      </c>
      <c r="C659">
        <v>0</v>
      </c>
      <c r="D659">
        <f>IFERROR(VLOOKUP(C659,挂机玩法规划!$K$2:$L$4,2,FALSE),0)</f>
        <v>0</v>
      </c>
      <c r="E659">
        <v>200</v>
      </c>
    </row>
    <row r="660" spans="1:5" x14ac:dyDescent="0.2">
      <c r="A660" t="s">
        <v>841</v>
      </c>
      <c r="B660">
        <v>20037</v>
      </c>
      <c r="C660">
        <v>0</v>
      </c>
      <c r="D660">
        <f>IFERROR(VLOOKUP(C660,挂机玩法规划!$K$2:$L$4,2,FALSE),0)</f>
        <v>0</v>
      </c>
      <c r="E660">
        <v>100</v>
      </c>
    </row>
    <row r="661" spans="1:5" x14ac:dyDescent="0.2">
      <c r="A661" t="s">
        <v>842</v>
      </c>
      <c r="B661">
        <v>20038</v>
      </c>
      <c r="C661">
        <v>0</v>
      </c>
      <c r="D661">
        <f>IFERROR(VLOOKUP(C661,挂机玩法规划!$K$2:$L$4,2,FALSE),0)</f>
        <v>0</v>
      </c>
      <c r="E661">
        <v>50</v>
      </c>
    </row>
    <row r="662" spans="1:5" x14ac:dyDescent="0.2">
      <c r="A662" t="s">
        <v>843</v>
      </c>
      <c r="B662">
        <v>20039</v>
      </c>
      <c r="C662">
        <v>0</v>
      </c>
      <c r="D662">
        <f>IFERROR(VLOOKUP(C662,挂机玩法规划!$K$2:$L$4,2,FALSE),0)</f>
        <v>0</v>
      </c>
      <c r="E662">
        <v>20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AA37"/>
  <sheetViews>
    <sheetView workbookViewId="0">
      <selection activeCell="B18" sqref="A1:B18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27" x14ac:dyDescent="0.2">
      <c r="A1" s="19" t="s">
        <v>866</v>
      </c>
      <c r="B1" s="19" t="s">
        <v>855</v>
      </c>
      <c r="E1" t="s">
        <v>871</v>
      </c>
      <c r="J1" s="3" t="s">
        <v>49</v>
      </c>
      <c r="K1" s="3" t="s">
        <v>50</v>
      </c>
      <c r="M1" s="3" t="s">
        <v>971</v>
      </c>
      <c r="N1" s="25">
        <v>11</v>
      </c>
      <c r="Q1" s="3"/>
      <c r="R1" s="3" t="s">
        <v>108</v>
      </c>
      <c r="S1" s="3" t="s">
        <v>114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802</v>
      </c>
      <c r="Y1" s="3" t="s">
        <v>884</v>
      </c>
      <c r="Z1" s="3" t="s">
        <v>885</v>
      </c>
      <c r="AA1" s="3" t="s">
        <v>886</v>
      </c>
    </row>
    <row r="2" spans="1:27" x14ac:dyDescent="0.2">
      <c r="A2" t="s">
        <v>844</v>
      </c>
      <c r="B2">
        <v>5</v>
      </c>
      <c r="E2" s="11">
        <v>575.2909411764706</v>
      </c>
      <c r="F2">
        <v>1</v>
      </c>
      <c r="G2">
        <f>E2/时间预估!B3</f>
        <v>575.2909411764706</v>
      </c>
      <c r="H2">
        <f t="shared" ref="H2:H11" si="0">G2/$G$2</f>
        <v>1</v>
      </c>
      <c r="J2" s="8">
        <v>0.6</v>
      </c>
      <c r="K2" s="8">
        <v>0.6</v>
      </c>
      <c r="M2" s="3" t="s">
        <v>972</v>
      </c>
      <c r="N2" s="25">
        <v>3.67</v>
      </c>
      <c r="Q2" s="3" t="s">
        <v>875</v>
      </c>
      <c r="R2" s="14">
        <v>0.37874802735402419</v>
      </c>
      <c r="S2" s="14">
        <v>0.65254980578874822</v>
      </c>
      <c r="T2" s="14">
        <v>0.29196649758169169</v>
      </c>
      <c r="U2" s="14">
        <v>0.73572346140371359</v>
      </c>
      <c r="V2" s="14">
        <v>1.3941480206540446</v>
      </c>
      <c r="W2" s="14">
        <v>2.1782977006857602</v>
      </c>
      <c r="X2" s="14">
        <v>1.3941480206540446</v>
      </c>
      <c r="Y2" s="14">
        <v>0</v>
      </c>
      <c r="Z2" s="14">
        <v>0</v>
      </c>
      <c r="AA2" s="14">
        <v>0</v>
      </c>
    </row>
    <row r="3" spans="1:27" x14ac:dyDescent="0.2">
      <c r="A3" t="s">
        <v>845</v>
      </c>
      <c r="B3">
        <v>0</v>
      </c>
      <c r="E3" s="11">
        <v>1452.4089705882352</v>
      </c>
      <c r="F3" s="16">
        <f t="shared" ref="F3:F11" si="1">E3/$E$2</f>
        <v>2.5246512097306057</v>
      </c>
      <c r="G3">
        <f>E3/时间预估!B4</f>
        <v>726.2044852941176</v>
      </c>
      <c r="H3">
        <f t="shared" si="0"/>
        <v>1.2623256048653029</v>
      </c>
      <c r="J3" s="8">
        <v>1.1111111111111112</v>
      </c>
      <c r="K3" s="8">
        <f>J3+K2</f>
        <v>1.7111111111111112</v>
      </c>
      <c r="M3" s="3" t="s">
        <v>973</v>
      </c>
      <c r="N3" s="25">
        <v>0.9</v>
      </c>
      <c r="Q3" s="3" t="s">
        <v>876</v>
      </c>
      <c r="R3" s="14">
        <v>0.16833245660178853</v>
      </c>
      <c r="S3" s="14">
        <v>1.0190452324270141</v>
      </c>
      <c r="T3" s="14">
        <v>7.4318744838976047E-2</v>
      </c>
      <c r="U3" s="14">
        <v>0.14714469228074273</v>
      </c>
      <c r="V3" s="14">
        <v>0.27538726333907054</v>
      </c>
      <c r="W3" s="14">
        <v>0.58087938684953611</v>
      </c>
      <c r="X3" s="14">
        <v>0.27538726333907054</v>
      </c>
      <c r="Y3" s="14">
        <v>1.2565687789799072</v>
      </c>
      <c r="Z3" s="14">
        <v>3.7176487790612662</v>
      </c>
      <c r="AA3" s="14">
        <v>0</v>
      </c>
    </row>
    <row r="4" spans="1:27" x14ac:dyDescent="0.2">
      <c r="A4" t="s">
        <v>846</v>
      </c>
      <c r="B4">
        <v>0</v>
      </c>
      <c r="E4" s="11">
        <v>1712.7895588235294</v>
      </c>
      <c r="F4" s="16">
        <f t="shared" si="1"/>
        <v>2.9772580032650486</v>
      </c>
      <c r="G4">
        <f>E4/时间预估!B5</f>
        <v>856.39477941176472</v>
      </c>
      <c r="H4">
        <f t="shared" si="0"/>
        <v>1.4886290016325243</v>
      </c>
      <c r="J4" s="8">
        <v>1.0526315789473684</v>
      </c>
      <c r="K4" s="8">
        <f t="shared" ref="K4:K37" si="2">J4+K3</f>
        <v>2.7637426900584794</v>
      </c>
      <c r="Q4" s="3" t="s">
        <v>877</v>
      </c>
      <c r="R4" s="14">
        <v>1.6833245660178853</v>
      </c>
      <c r="S4" s="14">
        <v>0.84751284300213015</v>
      </c>
      <c r="T4" s="14">
        <v>0.72425386339506903</v>
      </c>
      <c r="U4" s="14">
        <v>1.449375218965316</v>
      </c>
      <c r="V4" s="14">
        <v>2.3975903614457827</v>
      </c>
      <c r="W4" s="14">
        <v>5.1093182734973777</v>
      </c>
      <c r="X4" s="14">
        <v>2.3975903614457827</v>
      </c>
      <c r="Y4" s="14">
        <v>1.0641421947449767</v>
      </c>
      <c r="Z4" s="14">
        <v>3.085319491153677</v>
      </c>
      <c r="AA4" s="14">
        <v>8.420038535645471</v>
      </c>
    </row>
    <row r="5" spans="1:27" x14ac:dyDescent="0.2">
      <c r="A5" t="s">
        <v>847</v>
      </c>
      <c r="B5">
        <v>0</v>
      </c>
      <c r="E5" s="11">
        <v>1963.829647058823</v>
      </c>
      <c r="F5" s="16">
        <f t="shared" si="1"/>
        <v>3.4136286642073475</v>
      </c>
      <c r="G5">
        <f>E5/时间预估!B6</f>
        <v>654.60988235294099</v>
      </c>
      <c r="H5">
        <f t="shared" si="0"/>
        <v>1.1378762214024492</v>
      </c>
      <c r="J5" s="8">
        <v>3.3333333333333335</v>
      </c>
      <c r="K5" s="8">
        <f t="shared" si="2"/>
        <v>6.0970760233918124</v>
      </c>
      <c r="Q5" s="3" t="s">
        <v>878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 t="s">
        <v>848</v>
      </c>
      <c r="B6">
        <v>0</v>
      </c>
      <c r="E6" s="11">
        <v>1853.480705882353</v>
      </c>
      <c r="F6" s="16">
        <f t="shared" si="1"/>
        <v>3.2218145171762709</v>
      </c>
      <c r="G6">
        <f>E6/时间预估!B7</f>
        <v>617.82690196078431</v>
      </c>
      <c r="H6">
        <f t="shared" si="0"/>
        <v>1.0739381723920902</v>
      </c>
      <c r="J6" s="8">
        <v>4</v>
      </c>
      <c r="K6" s="8">
        <f t="shared" si="2"/>
        <v>10.097076023391812</v>
      </c>
      <c r="Q6" s="3" t="s">
        <v>879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2.3183925811437404E-2</v>
      </c>
      <c r="Z6" s="14">
        <v>0.10527854949554027</v>
      </c>
      <c r="AA6" s="14">
        <v>0.51380860629415537</v>
      </c>
    </row>
    <row r="7" spans="1:27" x14ac:dyDescent="0.2">
      <c r="A7" t="s">
        <v>849</v>
      </c>
      <c r="B7">
        <v>5</v>
      </c>
      <c r="E7" s="11">
        <v>1902.7048823529415</v>
      </c>
      <c r="F7" s="16">
        <f t="shared" si="1"/>
        <v>3.307378486547881</v>
      </c>
      <c r="G7">
        <f>E7/时间预估!B8</f>
        <v>380.5409764705883</v>
      </c>
      <c r="H7">
        <f t="shared" si="0"/>
        <v>0.66147569730957623</v>
      </c>
      <c r="J7" s="8">
        <v>3.870967741935484</v>
      </c>
      <c r="K7" s="8">
        <f t="shared" si="2"/>
        <v>13.968043765327296</v>
      </c>
      <c r="Q7" s="3" t="s">
        <v>880</v>
      </c>
      <c r="R7" s="14">
        <v>0.63124671225670703</v>
      </c>
      <c r="S7" s="14">
        <v>0</v>
      </c>
      <c r="T7" s="14">
        <v>0.19535212929102277</v>
      </c>
      <c r="U7" s="14">
        <v>0.39098446806025927</v>
      </c>
      <c r="V7" s="14">
        <v>0.6351118760757315</v>
      </c>
      <c r="W7" s="14">
        <v>1.3069786204114564</v>
      </c>
      <c r="X7" s="14">
        <v>0.6351118760757315</v>
      </c>
      <c r="Y7" s="14">
        <v>0.88678516228748028</v>
      </c>
      <c r="Z7" s="14">
        <v>2.2898084515280019</v>
      </c>
      <c r="AA7" s="14">
        <v>0</v>
      </c>
    </row>
    <row r="8" spans="1:27" x14ac:dyDescent="0.2">
      <c r="A8" t="s">
        <v>850</v>
      </c>
      <c r="B8">
        <v>5</v>
      </c>
      <c r="E8" s="11">
        <v>2076.3390294117653</v>
      </c>
      <c r="F8" s="16">
        <f t="shared" si="1"/>
        <v>3.6091982000718623</v>
      </c>
      <c r="G8">
        <f>E8/时间预估!B9</f>
        <v>415.26780588235306</v>
      </c>
      <c r="H8">
        <f t="shared" si="0"/>
        <v>0.72183964001437251</v>
      </c>
      <c r="J8" s="8">
        <v>5</v>
      </c>
      <c r="K8" s="8">
        <f t="shared" si="2"/>
        <v>18.968043765327295</v>
      </c>
      <c r="Q8" s="3" t="s">
        <v>881</v>
      </c>
      <c r="R8" s="14">
        <v>0.22724881641241451</v>
      </c>
      <c r="S8" s="14">
        <v>0</v>
      </c>
      <c r="T8" s="14">
        <v>9.1305886516456297E-2</v>
      </c>
      <c r="U8" s="14">
        <v>0.18077776480205537</v>
      </c>
      <c r="V8" s="14">
        <v>0.29432013769363174</v>
      </c>
      <c r="W8" s="14">
        <v>0.6099233561920131</v>
      </c>
      <c r="X8" s="14">
        <v>0.29432013769363174</v>
      </c>
      <c r="Y8" s="14">
        <v>0.41731066460587335</v>
      </c>
      <c r="Z8" s="14">
        <v>1.0659453136423451</v>
      </c>
      <c r="AA8" s="14">
        <v>2.8131021194604999</v>
      </c>
    </row>
    <row r="9" spans="1:27" x14ac:dyDescent="0.2">
      <c r="A9" t="s">
        <v>851</v>
      </c>
      <c r="B9">
        <v>0</v>
      </c>
      <c r="E9" s="11">
        <v>2821.5426470588241</v>
      </c>
      <c r="F9" s="16">
        <f t="shared" si="1"/>
        <v>4.9045490639723379</v>
      </c>
      <c r="G9">
        <f>E9/时间预估!B10</f>
        <v>564.30852941176477</v>
      </c>
      <c r="H9">
        <f t="shared" si="0"/>
        <v>0.98090981279446743</v>
      </c>
      <c r="J9" s="8">
        <v>6.1</v>
      </c>
      <c r="K9" s="8">
        <f t="shared" si="2"/>
        <v>25.068043765327296</v>
      </c>
      <c r="Q9" s="3" t="s">
        <v>882</v>
      </c>
      <c r="R9" s="14">
        <v>0.12098895318253552</v>
      </c>
      <c r="S9" s="14">
        <v>0</v>
      </c>
      <c r="T9" s="14">
        <v>4.7304470921316497E-2</v>
      </c>
      <c r="U9" s="14">
        <v>9.76293355132547E-2</v>
      </c>
      <c r="V9" s="14">
        <v>0.15490533562822728</v>
      </c>
      <c r="W9" s="14">
        <v>0.31948366276724482</v>
      </c>
      <c r="X9" s="14">
        <v>0.15490533562822728</v>
      </c>
      <c r="Y9" s="14">
        <v>0.21831530139103553</v>
      </c>
      <c r="Z9" s="14">
        <v>0.55885363357215956</v>
      </c>
      <c r="AA9" s="14">
        <v>1.5756797259687427</v>
      </c>
    </row>
    <row r="10" spans="1:27" x14ac:dyDescent="0.2">
      <c r="A10" t="s">
        <v>852</v>
      </c>
      <c r="B10">
        <v>5</v>
      </c>
      <c r="E10" s="11">
        <v>4593.811588235294</v>
      </c>
      <c r="F10" s="16">
        <f t="shared" si="1"/>
        <v>7.9851971575303171</v>
      </c>
      <c r="G10">
        <f>E10/时间预估!B11</f>
        <v>459.3811588235294</v>
      </c>
      <c r="H10">
        <f t="shared" si="0"/>
        <v>0.79851971575303171</v>
      </c>
      <c r="J10" s="8">
        <v>7.2</v>
      </c>
      <c r="K10" s="8">
        <f t="shared" si="2"/>
        <v>32.268043765327299</v>
      </c>
      <c r="Q10" s="3" t="s">
        <v>883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0.10704345964461572</v>
      </c>
    </row>
    <row r="11" spans="1:27" x14ac:dyDescent="0.2">
      <c r="A11" t="s">
        <v>853</v>
      </c>
      <c r="B11">
        <v>0</v>
      </c>
      <c r="E11" s="11">
        <v>8466.5643235294119</v>
      </c>
      <c r="F11" s="16">
        <f t="shared" si="1"/>
        <v>14.717013110297337</v>
      </c>
      <c r="G11">
        <f>E11/时间预估!B12</f>
        <v>352.77351348039218</v>
      </c>
      <c r="H11">
        <f t="shared" si="0"/>
        <v>0.61320887959572246</v>
      </c>
      <c r="J11" s="8">
        <v>8.3000000000000007</v>
      </c>
      <c r="K11" s="8">
        <f t="shared" si="2"/>
        <v>40.568043765327303</v>
      </c>
    </row>
    <row r="12" spans="1:27" x14ac:dyDescent="0.2">
      <c r="A12" t="s">
        <v>854</v>
      </c>
      <c r="B12">
        <v>5</v>
      </c>
      <c r="J12" s="8">
        <v>9.4599999999999991</v>
      </c>
      <c r="K12" s="8">
        <f t="shared" si="2"/>
        <v>50.028043765327304</v>
      </c>
    </row>
    <row r="13" spans="1:27" x14ac:dyDescent="0.2">
      <c r="A13" t="s">
        <v>856</v>
      </c>
      <c r="B13">
        <v>5</v>
      </c>
      <c r="J13" s="8">
        <v>10.32</v>
      </c>
      <c r="K13" s="8">
        <f t="shared" si="2"/>
        <v>60.348043765327304</v>
      </c>
    </row>
    <row r="14" spans="1:27" x14ac:dyDescent="0.2">
      <c r="A14" t="s">
        <v>857</v>
      </c>
      <c r="B14">
        <v>5</v>
      </c>
      <c r="J14" s="8">
        <v>11.18</v>
      </c>
      <c r="K14" s="8">
        <f t="shared" si="2"/>
        <v>71.528043765327311</v>
      </c>
    </row>
    <row r="15" spans="1:27" x14ac:dyDescent="0.2">
      <c r="A15" t="s">
        <v>858</v>
      </c>
      <c r="B15">
        <v>10</v>
      </c>
      <c r="J15" s="8">
        <v>12.04</v>
      </c>
      <c r="K15" s="8">
        <f t="shared" si="2"/>
        <v>83.568043765327303</v>
      </c>
    </row>
    <row r="16" spans="1:27" x14ac:dyDescent="0.2">
      <c r="A16" t="s">
        <v>859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860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861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3" operator="equal">
      <formula>0</formula>
    </cfRule>
  </conditionalFormatting>
  <conditionalFormatting sqref="R2:AA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1" sqref="C21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zoomScale="120" zoomScaleNormal="120" workbookViewId="0">
      <selection activeCell="F23" sqref="F23:L24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6" customWidth="1"/>
    <col min="5" max="5" width="16.375" customWidth="1"/>
    <col min="6" max="6" width="15.625" customWidth="1"/>
    <col min="7" max="7" width="16" customWidth="1"/>
    <col min="8" max="8" width="13.125" customWidth="1"/>
    <col min="9" max="10" width="10.375" bestFit="1" customWidth="1"/>
    <col min="11" max="12" width="10" customWidth="1"/>
    <col min="13" max="13" width="11.5" customWidth="1"/>
    <col min="14" max="14" width="17.125" bestFit="1" customWidth="1"/>
    <col min="15" max="15" width="30.125" bestFit="1" customWidth="1"/>
    <col min="16" max="16" width="23.625" bestFit="1" customWidth="1"/>
    <col min="17" max="17" width="14.625" customWidth="1"/>
  </cols>
  <sheetData>
    <row r="1" spans="1:23" x14ac:dyDescent="0.2">
      <c r="A1" s="4" t="s">
        <v>869</v>
      </c>
      <c r="B1" s="4"/>
      <c r="C1" s="4"/>
      <c r="F1" s="1" t="s">
        <v>51</v>
      </c>
      <c r="M1" s="19" t="s">
        <v>870</v>
      </c>
    </row>
    <row r="2" spans="1:23" x14ac:dyDescent="0.2">
      <c r="A2" s="3" t="s">
        <v>10</v>
      </c>
      <c r="B2" s="3" t="s">
        <v>868</v>
      </c>
      <c r="C2" s="5" t="s">
        <v>867</v>
      </c>
      <c r="D2" s="5" t="s">
        <v>54</v>
      </c>
      <c r="F2" s="3" t="s">
        <v>887</v>
      </c>
      <c r="G2" s="3" t="s">
        <v>888</v>
      </c>
      <c r="H2" s="3" t="s">
        <v>889</v>
      </c>
      <c r="I2" s="5" t="s">
        <v>53</v>
      </c>
      <c r="J2" s="3" t="s">
        <v>52</v>
      </c>
      <c r="K2" s="5" t="s">
        <v>55</v>
      </c>
      <c r="L2" s="20"/>
      <c r="M2" s="3" t="s">
        <v>10</v>
      </c>
      <c r="N2" s="5" t="s">
        <v>872</v>
      </c>
      <c r="O2" s="5" t="s">
        <v>873</v>
      </c>
      <c r="P2" s="5" t="s">
        <v>874</v>
      </c>
      <c r="Q2" s="5" t="s">
        <v>1034</v>
      </c>
      <c r="S2" s="31">
        <v>1</v>
      </c>
      <c r="T2" s="31">
        <v>0.8</v>
      </c>
      <c r="U2" s="31">
        <v>0.8</v>
      </c>
      <c r="V2" s="31"/>
      <c r="W2" s="31"/>
    </row>
    <row r="3" spans="1:23" ht="15.75" x14ac:dyDescent="0.3">
      <c r="A3" s="3">
        <v>1</v>
      </c>
      <c r="B3" s="3">
        <v>1</v>
      </c>
      <c r="C3" s="14">
        <f>VLOOKUP(A3,新Rank经验值投放!$A:$B,2,FALSE)</f>
        <v>3.45</v>
      </c>
      <c r="D3" s="14">
        <f t="shared" ref="D3:D38" si="0">C3*B3</f>
        <v>3.45</v>
      </c>
      <c r="F3" s="7">
        <v>1</v>
      </c>
      <c r="G3" s="8">
        <v>0.8</v>
      </c>
      <c r="H3" s="8">
        <v>0.8</v>
      </c>
      <c r="I3" s="3">
        <f>F3</f>
        <v>1</v>
      </c>
      <c r="J3" s="3">
        <v>0</v>
      </c>
      <c r="K3" s="3">
        <v>0</v>
      </c>
      <c r="L3" s="9">
        <f>K4-K3</f>
        <v>100</v>
      </c>
      <c r="M3" s="3">
        <v>1</v>
      </c>
      <c r="N3" s="3"/>
      <c r="O3" s="3" t="s">
        <v>948</v>
      </c>
      <c r="P3" s="3" t="s">
        <v>949</v>
      </c>
      <c r="Q3" s="3">
        <v>1</v>
      </c>
      <c r="S3" s="31">
        <v>2</v>
      </c>
      <c r="T3" s="31">
        <v>1.4814814814814814</v>
      </c>
      <c r="U3" s="31">
        <v>1.4814814814814814</v>
      </c>
      <c r="V3" s="31"/>
      <c r="W3" s="31"/>
    </row>
    <row r="4" spans="1:23" ht="15.75" x14ac:dyDescent="0.3">
      <c r="A4" s="3">
        <v>2</v>
      </c>
      <c r="B4" s="3">
        <v>2</v>
      </c>
      <c r="C4" s="14">
        <f>VLOOKUP(A4,新Rank经验值投放!$A:$B,2,FALSE)</f>
        <v>13.8</v>
      </c>
      <c r="D4" s="14">
        <f t="shared" si="0"/>
        <v>27.6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>ROUNDUP(VLOOKUP(F4-1,$A$3:$D$38,4,FALSE)*G4/100,0)*100+J3</f>
        <v>100</v>
      </c>
      <c r="K4" s="3">
        <v>100</v>
      </c>
      <c r="L4" s="9">
        <f t="shared" ref="L4:L38" si="2">K5-K4</f>
        <v>100</v>
      </c>
      <c r="M4" s="3">
        <v>2</v>
      </c>
      <c r="N4" s="3" t="s">
        <v>952</v>
      </c>
      <c r="O4" s="3" t="s">
        <v>1048</v>
      </c>
      <c r="P4" s="3" t="s">
        <v>950</v>
      </c>
      <c r="Q4" s="3">
        <v>2</v>
      </c>
      <c r="S4" s="31">
        <v>3</v>
      </c>
      <c r="T4" s="31">
        <v>1.4035087719298245</v>
      </c>
      <c r="U4" s="31">
        <v>1.4035087719298245</v>
      </c>
      <c r="V4" s="31"/>
      <c r="W4" s="31"/>
    </row>
    <row r="5" spans="1:23" ht="15.75" x14ac:dyDescent="0.3">
      <c r="A5" s="3">
        <v>3</v>
      </c>
      <c r="B5" s="3">
        <v>2</v>
      </c>
      <c r="C5" s="14">
        <f>VLOOKUP(A5,新Rank经验值投放!$A:$B,2,FALSE)</f>
        <v>17.48</v>
      </c>
      <c r="D5" s="14">
        <f t="shared" si="0"/>
        <v>34.96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ref="J5:J38" si="4">ROUNDUP(VLOOKUP(F5-1,$A$3:$D$38,4,FALSE)*G5/100,0)*100+J4</f>
        <v>200</v>
      </c>
      <c r="K5" s="3">
        <v>200</v>
      </c>
      <c r="L5" s="9">
        <f t="shared" si="2"/>
        <v>100</v>
      </c>
      <c r="M5" s="3">
        <v>3</v>
      </c>
      <c r="N5" s="3" t="s">
        <v>951</v>
      </c>
      <c r="O5" s="20" t="s">
        <v>1049</v>
      </c>
      <c r="P5" s="3" t="s">
        <v>954</v>
      </c>
      <c r="Q5" s="3">
        <v>3</v>
      </c>
      <c r="S5" s="31">
        <v>4</v>
      </c>
      <c r="T5" s="31">
        <v>2</v>
      </c>
      <c r="U5" s="31">
        <v>2</v>
      </c>
      <c r="V5" s="31"/>
      <c r="W5" s="31"/>
    </row>
    <row r="6" spans="1:23" ht="15.75" x14ac:dyDescent="0.3">
      <c r="A6" s="3">
        <v>4</v>
      </c>
      <c r="B6" s="3">
        <v>3</v>
      </c>
      <c r="C6" s="14">
        <f>VLOOKUP(A6,新Rank经验值投放!$A:$B,2,FALSE)</f>
        <v>19.25</v>
      </c>
      <c r="D6" s="14">
        <f t="shared" si="0"/>
        <v>57.75</v>
      </c>
      <c r="F6" s="7">
        <v>4</v>
      </c>
      <c r="G6" s="8">
        <v>2</v>
      </c>
      <c r="H6" s="8">
        <f t="shared" si="3"/>
        <v>5.6849902534113061</v>
      </c>
      <c r="I6" s="3">
        <f t="shared" si="1"/>
        <v>4</v>
      </c>
      <c r="J6" s="3">
        <f t="shared" si="4"/>
        <v>300</v>
      </c>
      <c r="K6" s="3">
        <v>300</v>
      </c>
      <c r="L6" s="9">
        <f t="shared" si="2"/>
        <v>300</v>
      </c>
      <c r="M6" s="3">
        <v>4</v>
      </c>
      <c r="N6" s="3" t="s">
        <v>957</v>
      </c>
      <c r="O6" s="3" t="s">
        <v>953</v>
      </c>
      <c r="P6" s="3" t="s">
        <v>956</v>
      </c>
      <c r="Q6" s="5">
        <v>3</v>
      </c>
      <c r="S6" s="31">
        <v>5</v>
      </c>
      <c r="T6" s="31">
        <v>4.4444444444444446</v>
      </c>
      <c r="U6" s="31">
        <v>4.4444444444444446</v>
      </c>
      <c r="V6" s="31"/>
      <c r="W6" s="31"/>
    </row>
    <row r="7" spans="1:23" ht="15.75" x14ac:dyDescent="0.3">
      <c r="A7" s="3">
        <v>5</v>
      </c>
      <c r="B7" s="3">
        <v>3</v>
      </c>
      <c r="C7" s="14">
        <f>VLOOKUP(A7,新Rank经验值投放!$A:$B,2,FALSE)</f>
        <v>16.915454545454548</v>
      </c>
      <c r="D7" s="14">
        <f t="shared" si="0"/>
        <v>50.74636363636364</v>
      </c>
      <c r="F7" s="7">
        <v>5</v>
      </c>
      <c r="G7" s="8">
        <v>4.4444444444444446</v>
      </c>
      <c r="H7" s="8">
        <f t="shared" si="3"/>
        <v>10.12943469785575</v>
      </c>
      <c r="I7" s="3">
        <f t="shared" si="1"/>
        <v>5</v>
      </c>
      <c r="J7" s="3">
        <f t="shared" si="4"/>
        <v>600</v>
      </c>
      <c r="K7" s="3">
        <v>600</v>
      </c>
      <c r="L7" s="9">
        <f t="shared" si="2"/>
        <v>300</v>
      </c>
      <c r="M7" s="3">
        <v>5</v>
      </c>
      <c r="N7" s="3"/>
      <c r="O7" s="3" t="s">
        <v>955</v>
      </c>
      <c r="P7" s="3" t="s">
        <v>959</v>
      </c>
      <c r="Q7" s="3">
        <v>4</v>
      </c>
      <c r="S7" s="31">
        <v>6</v>
      </c>
      <c r="T7" s="31">
        <v>5.333333333333333</v>
      </c>
      <c r="U7" s="31">
        <v>5.333333333333333</v>
      </c>
      <c r="V7" s="31"/>
      <c r="W7" s="31"/>
    </row>
    <row r="8" spans="1:23" ht="15.75" x14ac:dyDescent="0.3">
      <c r="A8" s="3">
        <v>6</v>
      </c>
      <c r="B8" s="3">
        <v>5</v>
      </c>
      <c r="C8" s="14">
        <f>VLOOKUP(A8,新Rank经验值投放!$A:$B,2,FALSE)</f>
        <v>17.25</v>
      </c>
      <c r="D8" s="14">
        <f t="shared" si="0"/>
        <v>86.25</v>
      </c>
      <c r="F8" s="7">
        <v>6</v>
      </c>
      <c r="G8" s="8">
        <v>5.333333333333333</v>
      </c>
      <c r="H8" s="8">
        <f t="shared" si="3"/>
        <v>15.462768031189082</v>
      </c>
      <c r="I8" s="3">
        <f t="shared" si="1"/>
        <v>6</v>
      </c>
      <c r="J8" s="3">
        <f t="shared" si="4"/>
        <v>900</v>
      </c>
      <c r="K8" s="3">
        <v>900</v>
      </c>
      <c r="L8" s="9">
        <f t="shared" si="2"/>
        <v>500</v>
      </c>
      <c r="M8" s="3">
        <v>6</v>
      </c>
      <c r="N8" s="3"/>
      <c r="O8" s="3" t="s">
        <v>958</v>
      </c>
      <c r="P8" s="3"/>
      <c r="Q8" s="3">
        <v>5</v>
      </c>
      <c r="S8" s="31">
        <v>7</v>
      </c>
      <c r="T8" s="31">
        <v>5.161290322580645</v>
      </c>
      <c r="U8" s="31">
        <v>5.161290322580645</v>
      </c>
      <c r="V8" s="31"/>
      <c r="W8" s="31"/>
    </row>
    <row r="9" spans="1:23" ht="15.75" x14ac:dyDescent="0.3">
      <c r="A9" s="3">
        <v>7</v>
      </c>
      <c r="B9" s="3">
        <v>5</v>
      </c>
      <c r="C9" s="14">
        <f>VLOOKUP(A9,新Rank经验值投放!$A:$B,2,FALSE)</f>
        <v>14.950000000000001</v>
      </c>
      <c r="D9" s="14">
        <f t="shared" si="0"/>
        <v>74.75</v>
      </c>
      <c r="F9" s="7">
        <v>7</v>
      </c>
      <c r="G9" s="8">
        <v>5.161290322580645</v>
      </c>
      <c r="H9" s="8">
        <f t="shared" si="3"/>
        <v>20.624058353769726</v>
      </c>
      <c r="I9" s="3">
        <f t="shared" si="1"/>
        <v>7</v>
      </c>
      <c r="J9" s="3">
        <f t="shared" si="4"/>
        <v>1400</v>
      </c>
      <c r="K9" s="3">
        <v>1400</v>
      </c>
      <c r="L9" s="9">
        <f t="shared" si="2"/>
        <v>500</v>
      </c>
      <c r="M9" s="3">
        <v>7</v>
      </c>
      <c r="N9" s="3"/>
      <c r="O9" s="3" t="s">
        <v>960</v>
      </c>
      <c r="P9" s="3"/>
      <c r="Q9" s="3">
        <v>6</v>
      </c>
      <c r="S9" s="31">
        <v>8</v>
      </c>
      <c r="T9" s="31">
        <v>6.666666666666667</v>
      </c>
      <c r="U9" s="31">
        <v>6.666666666666667</v>
      </c>
      <c r="V9" s="31"/>
      <c r="W9" s="31"/>
    </row>
    <row r="10" spans="1:23" ht="15.75" x14ac:dyDescent="0.3">
      <c r="A10" s="3">
        <v>8</v>
      </c>
      <c r="B10" s="3">
        <v>5</v>
      </c>
      <c r="C10" s="14">
        <f>VLOOKUP(A10,新Rank经验值投放!$A:$B,2,FALSE)</f>
        <v>20.125</v>
      </c>
      <c r="D10" s="14">
        <f t="shared" si="0"/>
        <v>100.625</v>
      </c>
      <c r="F10" s="7">
        <v>8</v>
      </c>
      <c r="G10" s="8">
        <v>6.666666666666667</v>
      </c>
      <c r="H10" s="8">
        <f t="shared" si="3"/>
        <v>27.290725020436394</v>
      </c>
      <c r="I10" s="3">
        <f t="shared" si="1"/>
        <v>8</v>
      </c>
      <c r="J10" s="3">
        <f t="shared" si="4"/>
        <v>1900</v>
      </c>
      <c r="K10" s="3">
        <v>1900</v>
      </c>
      <c r="L10" s="9">
        <f t="shared" si="2"/>
        <v>900</v>
      </c>
      <c r="M10" s="3">
        <v>8</v>
      </c>
      <c r="N10" s="3"/>
      <c r="O10" s="3" t="s">
        <v>961</v>
      </c>
      <c r="P10" s="3"/>
      <c r="Q10" s="3">
        <v>7</v>
      </c>
      <c r="S10" s="31">
        <v>9</v>
      </c>
      <c r="T10" s="31">
        <v>8.1999999999999993</v>
      </c>
      <c r="U10" s="31">
        <v>8.1999999999999993</v>
      </c>
      <c r="V10" s="31"/>
      <c r="W10" s="31"/>
    </row>
    <row r="11" spans="1:23" ht="15.75" x14ac:dyDescent="0.3">
      <c r="A11" s="3">
        <v>9</v>
      </c>
      <c r="B11" s="3">
        <v>10</v>
      </c>
      <c r="C11" s="14">
        <f>VLOOKUP(A11,新Rank经验值投放!$A:$B,2,FALSE)</f>
        <v>26.450000000000003</v>
      </c>
      <c r="D11" s="14">
        <f t="shared" si="0"/>
        <v>264.5</v>
      </c>
      <c r="F11" s="7">
        <v>9</v>
      </c>
      <c r="G11" s="8">
        <v>8.1999999999999993</v>
      </c>
      <c r="H11" s="8">
        <f t="shared" si="3"/>
        <v>35.490725020436393</v>
      </c>
      <c r="I11" s="3">
        <f t="shared" si="1"/>
        <v>9</v>
      </c>
      <c r="J11" s="3">
        <f t="shared" si="4"/>
        <v>2800</v>
      </c>
      <c r="K11" s="3">
        <v>2800</v>
      </c>
      <c r="L11" s="9">
        <f t="shared" si="2"/>
        <v>2200</v>
      </c>
      <c r="M11" s="3">
        <v>9</v>
      </c>
      <c r="N11" s="3"/>
      <c r="O11" s="3" t="s">
        <v>962</v>
      </c>
      <c r="P11" s="3"/>
      <c r="Q11" s="3">
        <v>8</v>
      </c>
      <c r="S11" s="49">
        <v>10</v>
      </c>
      <c r="T11" s="31">
        <v>9.6999999999999993</v>
      </c>
      <c r="U11" s="31">
        <f>S11*1-1.57</f>
        <v>8.43</v>
      </c>
      <c r="V11" s="31"/>
      <c r="W11" s="31"/>
    </row>
    <row r="12" spans="1:23" ht="15.75" x14ac:dyDescent="0.3">
      <c r="A12" s="3">
        <v>10</v>
      </c>
      <c r="B12" s="3">
        <v>24</v>
      </c>
      <c r="C12" s="14">
        <f>VLOOKUP(A12,新Rank经验值投放!$A:$B,2,FALSE)</f>
        <v>39.017857142857146</v>
      </c>
      <c r="D12" s="14">
        <f t="shared" si="0"/>
        <v>936.42857142857156</v>
      </c>
      <c r="F12" s="7">
        <v>10</v>
      </c>
      <c r="G12" s="8">
        <v>8.43</v>
      </c>
      <c r="H12" s="8">
        <f t="shared" si="3"/>
        <v>43.920725020436393</v>
      </c>
      <c r="I12" s="3">
        <f t="shared" si="1"/>
        <v>10</v>
      </c>
      <c r="J12" s="3">
        <f t="shared" si="4"/>
        <v>5100</v>
      </c>
      <c r="K12" s="3">
        <v>5000</v>
      </c>
      <c r="L12" s="9">
        <f t="shared" si="2"/>
        <v>5000</v>
      </c>
      <c r="M12" s="3">
        <v>10</v>
      </c>
      <c r="N12" s="3"/>
      <c r="O12" s="3" t="s">
        <v>963</v>
      </c>
      <c r="P12" s="3"/>
      <c r="Q12" s="3">
        <v>9</v>
      </c>
      <c r="S12" s="49">
        <v>11</v>
      </c>
      <c r="T12" s="31">
        <v>11.9</v>
      </c>
      <c r="U12" s="31">
        <f t="shared" ref="U12:U19" si="5">S12*1-1.57</f>
        <v>9.43</v>
      </c>
      <c r="V12" s="31"/>
      <c r="W12" s="31"/>
    </row>
    <row r="13" spans="1:23" ht="15.75" x14ac:dyDescent="0.3">
      <c r="A13" s="3">
        <v>11</v>
      </c>
      <c r="B13" s="3">
        <v>24</v>
      </c>
      <c r="C13" s="14">
        <f>VLOOKUP(A13,新Rank经验值投放!$A:$B,2,FALSE)</f>
        <v>39.017857142857146</v>
      </c>
      <c r="D13" s="14">
        <f t="shared" si="0"/>
        <v>936.42857142857156</v>
      </c>
      <c r="F13" s="7">
        <v>11</v>
      </c>
      <c r="G13" s="8">
        <v>9.43</v>
      </c>
      <c r="H13" s="8">
        <f t="shared" si="3"/>
        <v>53.350725020436393</v>
      </c>
      <c r="I13" s="3">
        <f t="shared" si="1"/>
        <v>11</v>
      </c>
      <c r="J13" s="3">
        <f t="shared" si="4"/>
        <v>14000</v>
      </c>
      <c r="K13" s="3">
        <v>10000</v>
      </c>
      <c r="L13" s="9">
        <f t="shared" si="2"/>
        <v>10000</v>
      </c>
      <c r="M13" s="3">
        <v>11</v>
      </c>
      <c r="N13" s="3"/>
      <c r="O13" s="3" t="s">
        <v>964</v>
      </c>
      <c r="P13" s="3"/>
      <c r="Q13" s="3">
        <v>10</v>
      </c>
      <c r="S13" s="49">
        <v>12</v>
      </c>
      <c r="T13" s="31">
        <v>13.11</v>
      </c>
      <c r="U13" s="31">
        <f t="shared" si="5"/>
        <v>10.43</v>
      </c>
      <c r="V13" s="31"/>
      <c r="W13" s="31"/>
    </row>
    <row r="14" spans="1:23" ht="15.75" x14ac:dyDescent="0.3">
      <c r="A14" s="3">
        <v>12</v>
      </c>
      <c r="B14" s="3">
        <v>24</v>
      </c>
      <c r="C14" s="14">
        <f>VLOOKUP(A14,新Rank经验值投放!$A:$B,2,FALSE)</f>
        <v>39.01785714285711</v>
      </c>
      <c r="D14" s="14">
        <f t="shared" si="0"/>
        <v>936.42857142857065</v>
      </c>
      <c r="F14" s="7">
        <v>12</v>
      </c>
      <c r="G14" s="8">
        <v>10.43</v>
      </c>
      <c r="H14" s="8">
        <f t="shared" si="3"/>
        <v>63.780725020436392</v>
      </c>
      <c r="I14" s="3">
        <f t="shared" si="1"/>
        <v>12</v>
      </c>
      <c r="J14" s="3">
        <f t="shared" si="4"/>
        <v>23800</v>
      </c>
      <c r="K14" s="3">
        <v>20000</v>
      </c>
      <c r="L14" s="9">
        <f t="shared" si="2"/>
        <v>10000</v>
      </c>
      <c r="M14" s="3">
        <v>12</v>
      </c>
      <c r="N14" s="3"/>
      <c r="O14" s="3"/>
      <c r="P14" s="3"/>
      <c r="Q14" s="3"/>
      <c r="S14" s="49">
        <v>13</v>
      </c>
      <c r="T14" s="31">
        <v>14.249999999999986</v>
      </c>
      <c r="U14" s="31">
        <f t="shared" si="5"/>
        <v>11.43</v>
      </c>
      <c r="V14" s="31"/>
      <c r="W14" s="31"/>
    </row>
    <row r="15" spans="1:23" ht="15.75" x14ac:dyDescent="0.3">
      <c r="A15" s="3">
        <v>13</v>
      </c>
      <c r="B15" s="3">
        <v>24</v>
      </c>
      <c r="C15" s="14">
        <f>VLOOKUP(A15,新Rank经验值投放!$A:$B,2,FALSE)</f>
        <v>39.01785714285711</v>
      </c>
      <c r="D15" s="14">
        <f t="shared" si="0"/>
        <v>936.42857142857065</v>
      </c>
      <c r="F15" s="7">
        <v>13</v>
      </c>
      <c r="G15" s="8">
        <v>11.43</v>
      </c>
      <c r="H15" s="8">
        <f t="shared" si="3"/>
        <v>75.210725020436399</v>
      </c>
      <c r="I15" s="3">
        <f t="shared" si="1"/>
        <v>13</v>
      </c>
      <c r="J15" s="3">
        <f t="shared" si="4"/>
        <v>34600</v>
      </c>
      <c r="K15" s="3">
        <v>30000</v>
      </c>
      <c r="L15" s="9">
        <f t="shared" si="2"/>
        <v>10000</v>
      </c>
      <c r="M15" s="3">
        <v>13</v>
      </c>
      <c r="N15" s="3"/>
      <c r="O15" s="3"/>
      <c r="P15" s="3"/>
      <c r="Q15" s="3"/>
      <c r="S15" s="49">
        <v>14</v>
      </c>
      <c r="T15" s="31">
        <v>15.390000000000015</v>
      </c>
      <c r="U15" s="31">
        <f t="shared" si="5"/>
        <v>12.43</v>
      </c>
      <c r="V15" s="31"/>
      <c r="W15" s="31"/>
    </row>
    <row r="16" spans="1:23" ht="15.75" x14ac:dyDescent="0.3">
      <c r="A16" s="3">
        <v>14</v>
      </c>
      <c r="B16" s="3">
        <v>24</v>
      </c>
      <c r="C16" s="14">
        <f>VLOOKUP(A16,新Rank经验值投放!$A:$B,2,FALSE)</f>
        <v>39.01785714285711</v>
      </c>
      <c r="D16" s="14">
        <f t="shared" si="0"/>
        <v>936.42857142857065</v>
      </c>
      <c r="F16" s="7">
        <v>14</v>
      </c>
      <c r="G16" s="8">
        <v>12.43</v>
      </c>
      <c r="H16" s="8">
        <f t="shared" si="3"/>
        <v>87.640725020436406</v>
      </c>
      <c r="I16" s="3">
        <f t="shared" si="1"/>
        <v>14</v>
      </c>
      <c r="J16" s="3">
        <f t="shared" si="4"/>
        <v>46300</v>
      </c>
      <c r="K16" s="3">
        <v>40000</v>
      </c>
      <c r="L16" s="9">
        <f t="shared" si="2"/>
        <v>10000</v>
      </c>
      <c r="M16" s="3">
        <v>14</v>
      </c>
      <c r="N16" s="3"/>
      <c r="O16" s="3"/>
      <c r="P16" s="3"/>
      <c r="Q16" s="3"/>
      <c r="S16" s="49">
        <v>15</v>
      </c>
      <c r="T16" s="31">
        <v>16.529999999999973</v>
      </c>
      <c r="U16" s="31">
        <f t="shared" si="5"/>
        <v>13.43</v>
      </c>
      <c r="V16" s="31"/>
      <c r="W16" s="31"/>
    </row>
    <row r="17" spans="1:23" ht="15.75" x14ac:dyDescent="0.3">
      <c r="A17" s="3">
        <v>15</v>
      </c>
      <c r="B17" s="3">
        <v>24</v>
      </c>
      <c r="C17" s="14">
        <f>VLOOKUP(A17,新Rank经验值投放!$A:$B,2,FALSE)</f>
        <v>39.01785714285711</v>
      </c>
      <c r="D17" s="14">
        <f t="shared" si="0"/>
        <v>936.42857142857065</v>
      </c>
      <c r="F17" s="7">
        <v>15</v>
      </c>
      <c r="G17" s="8">
        <v>13.43</v>
      </c>
      <c r="H17" s="8">
        <f t="shared" si="3"/>
        <v>101.07072502043641</v>
      </c>
      <c r="I17" s="3">
        <f t="shared" si="1"/>
        <v>15</v>
      </c>
      <c r="J17" s="3">
        <f t="shared" si="4"/>
        <v>58900</v>
      </c>
      <c r="K17" s="3">
        <v>50000</v>
      </c>
      <c r="L17" s="9">
        <f t="shared" si="2"/>
        <v>10000</v>
      </c>
      <c r="M17" s="3">
        <v>15</v>
      </c>
      <c r="N17" s="3"/>
      <c r="O17" s="3"/>
      <c r="P17" s="3"/>
      <c r="Q17" s="3"/>
      <c r="S17" s="49">
        <v>16</v>
      </c>
      <c r="T17" s="31">
        <v>17.670000000000016</v>
      </c>
      <c r="U17" s="31">
        <f t="shared" si="5"/>
        <v>14.43</v>
      </c>
      <c r="V17" s="31"/>
      <c r="W17" s="31"/>
    </row>
    <row r="18" spans="1:23" ht="15.75" x14ac:dyDescent="0.3">
      <c r="A18" s="3">
        <v>16</v>
      </c>
      <c r="B18" s="3">
        <v>24</v>
      </c>
      <c r="C18" s="14">
        <f>VLOOKUP(A18,新Rank经验值投放!$A:$B,2,FALSE)</f>
        <v>39.01785714285711</v>
      </c>
      <c r="D18" s="14">
        <f t="shared" si="0"/>
        <v>936.42857142857065</v>
      </c>
      <c r="F18" s="7">
        <v>16</v>
      </c>
      <c r="G18" s="8">
        <v>14.43</v>
      </c>
      <c r="H18" s="8">
        <f t="shared" si="3"/>
        <v>115.50072502043642</v>
      </c>
      <c r="I18" s="3">
        <f t="shared" si="1"/>
        <v>16</v>
      </c>
      <c r="J18" s="3">
        <f t="shared" si="4"/>
        <v>72500</v>
      </c>
      <c r="K18" s="3">
        <v>60000</v>
      </c>
      <c r="L18" s="9">
        <f t="shared" si="2"/>
        <v>20000</v>
      </c>
      <c r="M18" s="3">
        <v>16</v>
      </c>
      <c r="N18" s="3"/>
      <c r="O18" s="3"/>
      <c r="P18" s="3"/>
      <c r="Q18" s="3"/>
      <c r="S18" s="49">
        <v>17</v>
      </c>
      <c r="T18" s="31">
        <v>18.810000000000002</v>
      </c>
      <c r="U18" s="31">
        <f t="shared" si="5"/>
        <v>15.43</v>
      </c>
      <c r="V18" s="31"/>
      <c r="W18" s="31"/>
    </row>
    <row r="19" spans="1:23" ht="15.75" x14ac:dyDescent="0.3">
      <c r="A19" s="3">
        <v>17</v>
      </c>
      <c r="B19" s="3">
        <v>24</v>
      </c>
      <c r="C19" s="14">
        <f>VLOOKUP(A19,新Rank经验值投放!$A:$B,2,FALSE)</f>
        <v>39.01785714285711</v>
      </c>
      <c r="D19" s="14">
        <f t="shared" si="0"/>
        <v>936.42857142857065</v>
      </c>
      <c r="F19" s="7">
        <v>17</v>
      </c>
      <c r="G19" s="8">
        <v>15.43</v>
      </c>
      <c r="H19" s="8">
        <f t="shared" si="3"/>
        <v>130.93072502043643</v>
      </c>
      <c r="I19" s="3">
        <f t="shared" si="1"/>
        <v>17</v>
      </c>
      <c r="J19" s="3">
        <f t="shared" si="4"/>
        <v>87000</v>
      </c>
      <c r="K19" s="3">
        <v>80000</v>
      </c>
      <c r="L19" s="9">
        <f t="shared" si="2"/>
        <v>20000</v>
      </c>
      <c r="M19" s="3">
        <v>17</v>
      </c>
      <c r="N19" s="3"/>
      <c r="O19" s="3"/>
      <c r="P19" s="3"/>
      <c r="Q19" s="3"/>
      <c r="S19" s="49">
        <v>18</v>
      </c>
      <c r="T19" s="31">
        <v>19.950000000000017</v>
      </c>
      <c r="U19" s="31">
        <f t="shared" si="5"/>
        <v>16.43</v>
      </c>
      <c r="V19" s="31"/>
      <c r="W19" s="31"/>
    </row>
    <row r="20" spans="1:23" ht="15.75" x14ac:dyDescent="0.3">
      <c r="A20" s="3">
        <v>18</v>
      </c>
      <c r="B20" s="3">
        <v>24</v>
      </c>
      <c r="C20" s="14">
        <f>VLOOKUP(A20,新Rank经验值投放!$A:$B,2,FALSE)</f>
        <v>39.01785714285711</v>
      </c>
      <c r="D20" s="14">
        <f t="shared" si="0"/>
        <v>936.42857142857065</v>
      </c>
      <c r="F20" s="7">
        <v>18</v>
      </c>
      <c r="G20" s="8">
        <v>16.43</v>
      </c>
      <c r="H20" s="8">
        <f t="shared" si="3"/>
        <v>147.36072502043643</v>
      </c>
      <c r="I20" s="3">
        <f t="shared" si="1"/>
        <v>18</v>
      </c>
      <c r="J20" s="3">
        <f t="shared" si="4"/>
        <v>102400</v>
      </c>
      <c r="K20" s="3">
        <v>100000</v>
      </c>
      <c r="L20" s="9">
        <f t="shared" si="2"/>
        <v>20000</v>
      </c>
      <c r="M20" s="3">
        <v>18</v>
      </c>
      <c r="N20" s="3"/>
      <c r="O20" s="3"/>
      <c r="P20" s="3"/>
      <c r="Q20" s="3"/>
      <c r="S20" s="50">
        <v>19</v>
      </c>
      <c r="T20" s="31">
        <v>21.089999999999975</v>
      </c>
      <c r="U20" s="31">
        <f>S20*1.4-8.2</f>
        <v>18.399999999999999</v>
      </c>
      <c r="V20" s="31">
        <v>17.43</v>
      </c>
      <c r="W20" s="31">
        <f>U20-V20</f>
        <v>0.96999999999999886</v>
      </c>
    </row>
    <row r="21" spans="1:23" ht="15.75" x14ac:dyDescent="0.3">
      <c r="A21" s="3">
        <v>19</v>
      </c>
      <c r="B21" s="3">
        <v>24</v>
      </c>
      <c r="C21" s="14">
        <f>VLOOKUP(A21,新Rank经验值投放!$A:$B,2,FALSE)</f>
        <v>39.01785714285711</v>
      </c>
      <c r="D21" s="14">
        <f t="shared" si="0"/>
        <v>936.42857142857065</v>
      </c>
      <c r="F21" s="7">
        <v>19</v>
      </c>
      <c r="G21" s="8">
        <v>18.399999999999999</v>
      </c>
      <c r="H21" s="8">
        <f t="shared" si="3"/>
        <v>165.76072502043644</v>
      </c>
      <c r="I21" s="3">
        <f t="shared" si="1"/>
        <v>19</v>
      </c>
      <c r="J21" s="3">
        <f t="shared" si="4"/>
        <v>119700</v>
      </c>
      <c r="K21" s="3">
        <v>120000</v>
      </c>
      <c r="L21" s="9">
        <f t="shared" si="2"/>
        <v>20000</v>
      </c>
      <c r="M21" s="3">
        <v>19</v>
      </c>
      <c r="N21" s="3"/>
      <c r="O21" s="3"/>
      <c r="P21" s="3"/>
      <c r="Q21" s="3"/>
      <c r="S21" s="50">
        <v>20</v>
      </c>
      <c r="T21" s="31">
        <v>22.22999999999999</v>
      </c>
      <c r="U21" s="31">
        <f t="shared" ref="U21:U28" si="6">S21*1.4-8.2</f>
        <v>19.8</v>
      </c>
      <c r="V21" s="31"/>
      <c r="W21" s="31"/>
    </row>
    <row r="22" spans="1:23" ht="15.75" x14ac:dyDescent="0.3">
      <c r="A22" s="3">
        <v>20</v>
      </c>
      <c r="B22" s="3">
        <v>24</v>
      </c>
      <c r="C22" s="14">
        <f>VLOOKUP(A22,新Rank经验值投放!$A:$B,2,FALSE)</f>
        <v>39.01785714285711</v>
      </c>
      <c r="D22" s="14">
        <f t="shared" si="0"/>
        <v>936.42857142857065</v>
      </c>
      <c r="F22" s="7">
        <v>20</v>
      </c>
      <c r="G22" s="8">
        <v>19.8</v>
      </c>
      <c r="H22" s="8">
        <f t="shared" si="3"/>
        <v>185.56072502043645</v>
      </c>
      <c r="I22" s="3">
        <f t="shared" si="1"/>
        <v>20</v>
      </c>
      <c r="J22" s="3">
        <f t="shared" si="4"/>
        <v>138300</v>
      </c>
      <c r="K22" s="3">
        <v>140000</v>
      </c>
      <c r="L22" s="9">
        <f t="shared" si="2"/>
        <v>20000</v>
      </c>
      <c r="M22" s="3">
        <v>20</v>
      </c>
      <c r="N22" s="3"/>
      <c r="O22" s="3"/>
      <c r="P22" s="3"/>
      <c r="Q22" s="3"/>
      <c r="S22" s="50">
        <v>21</v>
      </c>
      <c r="T22" s="31">
        <v>23.370000000000005</v>
      </c>
      <c r="U22" s="31">
        <f t="shared" si="6"/>
        <v>21.2</v>
      </c>
      <c r="V22" s="31"/>
      <c r="W22" s="31"/>
    </row>
    <row r="23" spans="1:23" ht="15.75" x14ac:dyDescent="0.3">
      <c r="A23" s="3">
        <v>21</v>
      </c>
      <c r="B23" s="3">
        <v>24</v>
      </c>
      <c r="C23" s="14">
        <f>VLOOKUP(A23,新Rank经验值投放!$A:$B,2,FALSE)</f>
        <v>39.01785714285711</v>
      </c>
      <c r="D23" s="14">
        <f t="shared" si="0"/>
        <v>936.42857142857065</v>
      </c>
      <c r="F23" s="7">
        <v>21</v>
      </c>
      <c r="G23" s="8">
        <v>21.2</v>
      </c>
      <c r="H23" s="8">
        <f t="shared" si="3"/>
        <v>206.76072502043644</v>
      </c>
      <c r="I23" s="3">
        <f t="shared" si="1"/>
        <v>21</v>
      </c>
      <c r="J23" s="3">
        <f t="shared" si="4"/>
        <v>158200</v>
      </c>
      <c r="K23" s="3">
        <v>160000</v>
      </c>
      <c r="L23" s="9">
        <f t="shared" si="2"/>
        <v>20000</v>
      </c>
      <c r="M23" s="3">
        <v>21</v>
      </c>
      <c r="N23" s="3"/>
      <c r="O23" s="3"/>
      <c r="P23" s="3"/>
      <c r="Q23" s="3"/>
      <c r="S23" s="50">
        <v>22</v>
      </c>
      <c r="T23" s="31">
        <v>24.510000000000019</v>
      </c>
      <c r="U23" s="31">
        <f t="shared" si="6"/>
        <v>22.599999999999998</v>
      </c>
      <c r="V23" s="31"/>
      <c r="W23" s="31"/>
    </row>
    <row r="24" spans="1:23" ht="15.75" x14ac:dyDescent="0.3">
      <c r="A24" s="3">
        <v>22</v>
      </c>
      <c r="B24" s="3">
        <v>24</v>
      </c>
      <c r="C24" s="14">
        <f>VLOOKUP(A24,新Rank经验值投放!$A:$B,2,FALSE)</f>
        <v>39.01785714285711</v>
      </c>
      <c r="D24" s="14">
        <f t="shared" si="0"/>
        <v>936.42857142857065</v>
      </c>
      <c r="F24" s="7">
        <v>22</v>
      </c>
      <c r="G24" s="8">
        <v>22.599999999999998</v>
      </c>
      <c r="H24" s="8">
        <f t="shared" si="3"/>
        <v>229.36072502043643</v>
      </c>
      <c r="I24" s="3">
        <f t="shared" si="1"/>
        <v>22</v>
      </c>
      <c r="J24" s="3">
        <f t="shared" si="4"/>
        <v>179400</v>
      </c>
      <c r="K24" s="3">
        <v>180000</v>
      </c>
      <c r="L24" s="9">
        <f t="shared" si="2"/>
        <v>20000</v>
      </c>
      <c r="M24" s="3">
        <v>22</v>
      </c>
      <c r="N24" s="3"/>
      <c r="O24" s="3"/>
      <c r="P24" s="3"/>
      <c r="Q24" s="3"/>
      <c r="S24" s="50">
        <v>23</v>
      </c>
      <c r="T24" s="31">
        <v>25.649999999999977</v>
      </c>
      <c r="U24" s="31">
        <f t="shared" si="6"/>
        <v>23.999999999999996</v>
      </c>
      <c r="V24" s="31"/>
      <c r="W24" s="31"/>
    </row>
    <row r="25" spans="1:23" ht="15.75" x14ac:dyDescent="0.3">
      <c r="A25" s="3">
        <v>23</v>
      </c>
      <c r="B25" s="3">
        <v>24</v>
      </c>
      <c r="C25" s="14">
        <f>VLOOKUP(A25,新Rank经验值投放!$A:$B,2,FALSE)</f>
        <v>39.01785714285711</v>
      </c>
      <c r="D25" s="14">
        <f t="shared" si="0"/>
        <v>936.42857142857065</v>
      </c>
      <c r="F25" s="7">
        <v>23</v>
      </c>
      <c r="G25" s="8">
        <v>23.999999999999996</v>
      </c>
      <c r="H25" s="8">
        <f t="shared" si="3"/>
        <v>253.36072502043643</v>
      </c>
      <c r="I25" s="3">
        <f t="shared" si="1"/>
        <v>23</v>
      </c>
      <c r="J25" s="3">
        <f t="shared" si="4"/>
        <v>201900</v>
      </c>
      <c r="K25" s="3">
        <v>200000</v>
      </c>
      <c r="L25" s="9">
        <f t="shared" si="2"/>
        <v>25000</v>
      </c>
      <c r="M25" s="3">
        <v>23</v>
      </c>
      <c r="N25" s="3"/>
      <c r="O25" s="3"/>
      <c r="P25" s="3"/>
      <c r="Q25" s="3"/>
      <c r="S25" s="50">
        <v>24</v>
      </c>
      <c r="T25" s="31">
        <v>26.79000000000002</v>
      </c>
      <c r="U25" s="31">
        <f t="shared" si="6"/>
        <v>25.399999999999995</v>
      </c>
      <c r="V25" s="31"/>
      <c r="W25" s="31"/>
    </row>
    <row r="26" spans="1:23" ht="15.75" x14ac:dyDescent="0.3">
      <c r="A26" s="3">
        <v>24</v>
      </c>
      <c r="B26" s="3">
        <v>24</v>
      </c>
      <c r="C26" s="14">
        <f>VLOOKUP(A26,新Rank经验值投放!$A:$B,2,FALSE)</f>
        <v>39.01785714285711</v>
      </c>
      <c r="D26" s="14">
        <f t="shared" si="0"/>
        <v>936.42857142857065</v>
      </c>
      <c r="F26" s="7">
        <v>24</v>
      </c>
      <c r="G26" s="8">
        <v>25.399999999999995</v>
      </c>
      <c r="H26" s="8">
        <f t="shared" si="3"/>
        <v>278.76072502043644</v>
      </c>
      <c r="I26" s="3">
        <f t="shared" si="1"/>
        <v>24</v>
      </c>
      <c r="J26" s="3">
        <f t="shared" si="4"/>
        <v>225700</v>
      </c>
      <c r="K26" s="3">
        <v>225000</v>
      </c>
      <c r="L26" s="9">
        <f t="shared" si="2"/>
        <v>25000</v>
      </c>
      <c r="M26" s="3">
        <v>24</v>
      </c>
      <c r="N26" s="3"/>
      <c r="O26" s="3"/>
      <c r="P26" s="3"/>
      <c r="Q26" s="3"/>
      <c r="S26" s="50">
        <v>25</v>
      </c>
      <c r="T26" s="31">
        <v>27.92999999999995</v>
      </c>
      <c r="U26" s="31">
        <f t="shared" si="6"/>
        <v>26.8</v>
      </c>
      <c r="V26" s="31"/>
      <c r="W26" s="31"/>
    </row>
    <row r="27" spans="1:23" ht="15.75" x14ac:dyDescent="0.3">
      <c r="A27" s="3">
        <v>25</v>
      </c>
      <c r="B27" s="3">
        <v>24</v>
      </c>
      <c r="C27" s="14">
        <f>VLOOKUP(A27,新Rank经验值投放!$A:$B,2,FALSE)</f>
        <v>39.01785714285711</v>
      </c>
      <c r="D27" s="14">
        <f t="shared" si="0"/>
        <v>936.42857142857065</v>
      </c>
      <c r="F27" s="7">
        <v>25</v>
      </c>
      <c r="G27" s="8">
        <v>26.8</v>
      </c>
      <c r="H27" s="8">
        <f t="shared" si="3"/>
        <v>305.56072502043645</v>
      </c>
      <c r="I27" s="3">
        <f t="shared" si="1"/>
        <v>25</v>
      </c>
      <c r="J27" s="3">
        <f t="shared" si="4"/>
        <v>250800</v>
      </c>
      <c r="K27" s="3">
        <v>250000</v>
      </c>
      <c r="L27" s="9">
        <f t="shared" si="2"/>
        <v>25000</v>
      </c>
      <c r="M27" s="3">
        <v>25</v>
      </c>
      <c r="N27" s="3"/>
      <c r="O27" s="3"/>
      <c r="P27" s="3"/>
      <c r="Q27" s="3"/>
      <c r="S27" s="50">
        <v>26</v>
      </c>
      <c r="T27" s="31">
        <v>29.069999999999993</v>
      </c>
      <c r="U27" s="31">
        <f t="shared" si="6"/>
        <v>28.2</v>
      </c>
      <c r="V27" s="31"/>
      <c r="W27" s="31"/>
    </row>
    <row r="28" spans="1:23" ht="15.75" x14ac:dyDescent="0.3">
      <c r="A28" s="3">
        <v>26</v>
      </c>
      <c r="B28" s="3">
        <v>24</v>
      </c>
      <c r="C28" s="14">
        <f>VLOOKUP(A28,新Rank经验值投放!$A:$B,2,FALSE)</f>
        <v>39.01785714285711</v>
      </c>
      <c r="D28" s="14">
        <f t="shared" si="0"/>
        <v>936.42857142857065</v>
      </c>
      <c r="F28" s="7">
        <v>26</v>
      </c>
      <c r="G28" s="8">
        <v>28.2</v>
      </c>
      <c r="H28" s="8">
        <f t="shared" si="3"/>
        <v>333.76072502043644</v>
      </c>
      <c r="I28" s="3">
        <f t="shared" si="1"/>
        <v>26</v>
      </c>
      <c r="J28" s="3">
        <f t="shared" si="4"/>
        <v>277300</v>
      </c>
      <c r="K28" s="3">
        <v>275000</v>
      </c>
      <c r="L28" s="9">
        <f t="shared" si="2"/>
        <v>25000</v>
      </c>
      <c r="M28" s="3">
        <v>26</v>
      </c>
      <c r="N28" s="3"/>
      <c r="O28" s="3"/>
      <c r="P28" s="3"/>
      <c r="Q28" s="3"/>
      <c r="S28" s="50">
        <v>27</v>
      </c>
      <c r="T28" s="31">
        <v>30.210000000000036</v>
      </c>
      <c r="U28" s="31">
        <f t="shared" si="6"/>
        <v>29.599999999999998</v>
      </c>
      <c r="V28" s="31"/>
      <c r="W28" s="31"/>
    </row>
    <row r="29" spans="1:23" ht="15.75" x14ac:dyDescent="0.3">
      <c r="A29" s="3">
        <v>27</v>
      </c>
      <c r="B29" s="3">
        <v>24</v>
      </c>
      <c r="C29" s="14">
        <f>VLOOKUP(A29,新Rank经验值投放!$A:$B,2,FALSE)</f>
        <v>39.01785714285711</v>
      </c>
      <c r="D29" s="14">
        <f t="shared" si="0"/>
        <v>936.42857142857065</v>
      </c>
      <c r="F29" s="7">
        <v>27</v>
      </c>
      <c r="G29" s="8">
        <v>29.599999999999998</v>
      </c>
      <c r="H29" s="8">
        <f t="shared" si="3"/>
        <v>363.36072502043646</v>
      </c>
      <c r="I29" s="3">
        <f t="shared" si="1"/>
        <v>27</v>
      </c>
      <c r="J29" s="3">
        <f t="shared" si="4"/>
        <v>305100</v>
      </c>
      <c r="K29" s="3">
        <v>300000</v>
      </c>
      <c r="L29" s="9">
        <f>K30-K29</f>
        <v>35000</v>
      </c>
      <c r="M29" s="3">
        <v>27</v>
      </c>
      <c r="N29" s="3"/>
      <c r="O29" s="3"/>
      <c r="P29" s="3"/>
      <c r="Q29" s="3"/>
      <c r="S29" s="51">
        <v>28</v>
      </c>
      <c r="T29" s="31">
        <v>31.350000000000023</v>
      </c>
      <c r="U29" s="31">
        <f>S29*2.6-39.2</f>
        <v>33.599999999999994</v>
      </c>
      <c r="V29" s="31">
        <v>31</v>
      </c>
      <c r="W29" s="31">
        <f>U29-V29</f>
        <v>2.5999999999999943</v>
      </c>
    </row>
    <row r="30" spans="1:23" ht="15.75" x14ac:dyDescent="0.3">
      <c r="A30" s="3">
        <v>28</v>
      </c>
      <c r="B30" s="3">
        <v>24</v>
      </c>
      <c r="C30" s="14">
        <f>VLOOKUP(A30,新Rank经验值投放!$A:$B,2,FALSE)</f>
        <v>39.01785714285711</v>
      </c>
      <c r="D30" s="14">
        <f t="shared" si="0"/>
        <v>936.42857142857065</v>
      </c>
      <c r="F30" s="7">
        <v>28</v>
      </c>
      <c r="G30" s="8">
        <v>33.599999999999994</v>
      </c>
      <c r="H30" s="8">
        <f t="shared" si="3"/>
        <v>396.96072502043648</v>
      </c>
      <c r="I30" s="3">
        <f t="shared" si="1"/>
        <v>28</v>
      </c>
      <c r="J30" s="3">
        <f t="shared" si="4"/>
        <v>336600</v>
      </c>
      <c r="K30" s="3">
        <v>335000</v>
      </c>
      <c r="L30" s="9">
        <f t="shared" si="2"/>
        <v>35000</v>
      </c>
      <c r="M30" s="3">
        <v>28</v>
      </c>
      <c r="N30" s="3"/>
      <c r="O30" s="3"/>
      <c r="P30" s="3"/>
      <c r="Q30" s="3"/>
      <c r="S30" s="51">
        <v>29</v>
      </c>
      <c r="T30" s="31">
        <v>32.489999999999952</v>
      </c>
      <c r="U30" s="31">
        <f t="shared" ref="U30:U37" si="7">S30*2.6-39.2</f>
        <v>36.200000000000003</v>
      </c>
      <c r="V30" s="31"/>
      <c r="W30" s="31"/>
    </row>
    <row r="31" spans="1:23" ht="15.75" x14ac:dyDescent="0.3">
      <c r="A31" s="3">
        <v>29</v>
      </c>
      <c r="B31" s="3">
        <v>24</v>
      </c>
      <c r="C31" s="14">
        <f>VLOOKUP(A31,新Rank经验值投放!$A:$B,2,FALSE)</f>
        <v>39.01785714285711</v>
      </c>
      <c r="D31" s="14">
        <f t="shared" si="0"/>
        <v>936.42857142857065</v>
      </c>
      <c r="F31" s="7">
        <v>29</v>
      </c>
      <c r="G31" s="8">
        <v>36.200000000000003</v>
      </c>
      <c r="H31" s="8">
        <f t="shared" si="3"/>
        <v>433.16072502043647</v>
      </c>
      <c r="I31" s="3">
        <f t="shared" si="1"/>
        <v>29</v>
      </c>
      <c r="J31" s="3">
        <f t="shared" si="4"/>
        <v>370500</v>
      </c>
      <c r="K31" s="3">
        <v>370000</v>
      </c>
      <c r="L31" s="9">
        <f t="shared" si="2"/>
        <v>35000</v>
      </c>
      <c r="M31" s="3">
        <v>29</v>
      </c>
      <c r="N31" s="3"/>
      <c r="O31" s="3"/>
      <c r="P31" s="3"/>
      <c r="Q31" s="3"/>
      <c r="S31" s="51">
        <v>30</v>
      </c>
      <c r="T31" s="31">
        <v>33.629999999999939</v>
      </c>
      <c r="U31" s="31">
        <f t="shared" si="7"/>
        <v>38.799999999999997</v>
      </c>
      <c r="V31" s="31"/>
      <c r="W31" s="31"/>
    </row>
    <row r="32" spans="1:23" ht="15.75" x14ac:dyDescent="0.3">
      <c r="A32" s="3">
        <v>30</v>
      </c>
      <c r="B32" s="3">
        <v>24</v>
      </c>
      <c r="C32" s="14">
        <f>VLOOKUP(A32,新Rank经验值投放!$A:$B,2,FALSE)</f>
        <v>39.01785714285711</v>
      </c>
      <c r="D32" s="14">
        <f t="shared" si="0"/>
        <v>936.42857142857065</v>
      </c>
      <c r="F32" s="7">
        <v>30</v>
      </c>
      <c r="G32" s="8">
        <v>38.799999999999997</v>
      </c>
      <c r="H32" s="8">
        <f t="shared" si="3"/>
        <v>471.96072502043648</v>
      </c>
      <c r="I32" s="3">
        <f t="shared" si="1"/>
        <v>30</v>
      </c>
      <c r="J32" s="3">
        <f t="shared" si="4"/>
        <v>406900</v>
      </c>
      <c r="K32" s="3">
        <v>405000</v>
      </c>
      <c r="L32" s="9">
        <f t="shared" si="2"/>
        <v>45000</v>
      </c>
      <c r="M32" s="3">
        <v>30</v>
      </c>
      <c r="N32" s="3"/>
      <c r="O32" s="3"/>
      <c r="P32" s="3"/>
      <c r="Q32" s="3"/>
      <c r="S32" s="51">
        <v>31</v>
      </c>
      <c r="T32" s="31">
        <v>34.770000000000095</v>
      </c>
      <c r="U32" s="31">
        <f t="shared" si="7"/>
        <v>41.400000000000006</v>
      </c>
      <c r="V32" s="31"/>
      <c r="W32" s="31"/>
    </row>
    <row r="33" spans="1:23" ht="15.75" x14ac:dyDescent="0.3">
      <c r="A33" s="3">
        <v>31</v>
      </c>
      <c r="B33" s="3">
        <v>24</v>
      </c>
      <c r="C33" s="14">
        <f>VLOOKUP(A33,新Rank经验值投放!$A:$B,2,FALSE)</f>
        <v>39.01785714285711</v>
      </c>
      <c r="D33" s="14">
        <f t="shared" si="0"/>
        <v>936.42857142857065</v>
      </c>
      <c r="F33" s="7">
        <v>31</v>
      </c>
      <c r="G33" s="8">
        <v>41.400000000000006</v>
      </c>
      <c r="H33" s="8">
        <f t="shared" si="3"/>
        <v>513.36072502043646</v>
      </c>
      <c r="I33" s="3">
        <f t="shared" si="1"/>
        <v>31</v>
      </c>
      <c r="J33" s="3">
        <f t="shared" si="4"/>
        <v>445700</v>
      </c>
      <c r="K33" s="3">
        <v>450000</v>
      </c>
      <c r="L33" s="9">
        <f t="shared" si="2"/>
        <v>50000</v>
      </c>
      <c r="M33" s="3">
        <v>31</v>
      </c>
      <c r="N33" s="3"/>
      <c r="O33" s="3"/>
      <c r="P33" s="3"/>
      <c r="Q33" s="3"/>
      <c r="S33" s="51">
        <v>32</v>
      </c>
      <c r="T33" s="31">
        <v>35.909999999999968</v>
      </c>
      <c r="U33" s="31">
        <f t="shared" si="7"/>
        <v>44</v>
      </c>
      <c r="V33" s="31"/>
      <c r="W33" s="31"/>
    </row>
    <row r="34" spans="1:23" ht="15.75" x14ac:dyDescent="0.3">
      <c r="A34" s="3">
        <v>32</v>
      </c>
      <c r="B34" s="3">
        <v>24</v>
      </c>
      <c r="C34" s="14">
        <f>VLOOKUP(A34,新Rank经验值投放!$A:$B,2,FALSE)</f>
        <v>39.01785714285711</v>
      </c>
      <c r="D34" s="14">
        <f t="shared" si="0"/>
        <v>936.42857142857065</v>
      </c>
      <c r="F34" s="7">
        <v>32</v>
      </c>
      <c r="G34" s="8">
        <v>44</v>
      </c>
      <c r="H34" s="8">
        <f t="shared" si="3"/>
        <v>557.36072502043646</v>
      </c>
      <c r="I34" s="3">
        <f t="shared" si="1"/>
        <v>32</v>
      </c>
      <c r="J34" s="3">
        <f t="shared" si="4"/>
        <v>487000</v>
      </c>
      <c r="K34" s="3">
        <v>500000</v>
      </c>
      <c r="L34" s="9">
        <f t="shared" si="2"/>
        <v>50000</v>
      </c>
      <c r="M34" s="3">
        <v>32</v>
      </c>
      <c r="N34" s="3"/>
      <c r="O34" s="3"/>
      <c r="P34" s="3"/>
      <c r="Q34" s="3"/>
      <c r="S34" s="51">
        <v>33</v>
      </c>
      <c r="T34" s="31">
        <v>37.049999999999955</v>
      </c>
      <c r="U34" s="31">
        <f t="shared" si="7"/>
        <v>46.599999999999994</v>
      </c>
      <c r="V34" s="31"/>
      <c r="W34" s="31"/>
    </row>
    <row r="35" spans="1:23" ht="15.75" x14ac:dyDescent="0.3">
      <c r="A35" s="3">
        <v>33</v>
      </c>
      <c r="B35" s="3">
        <v>24</v>
      </c>
      <c r="C35" s="14">
        <f>VLOOKUP(A35,新Rank经验值投放!$A:$B,2,FALSE)</f>
        <v>39.01785714285711</v>
      </c>
      <c r="D35" s="14">
        <f t="shared" si="0"/>
        <v>936.42857142857065</v>
      </c>
      <c r="F35" s="7">
        <v>33</v>
      </c>
      <c r="G35" s="8">
        <v>46.599999999999994</v>
      </c>
      <c r="H35" s="8">
        <f t="shared" si="3"/>
        <v>603.96072502043648</v>
      </c>
      <c r="I35" s="3">
        <f t="shared" si="1"/>
        <v>33</v>
      </c>
      <c r="J35" s="3">
        <f t="shared" si="4"/>
        <v>530700</v>
      </c>
      <c r="K35" s="3">
        <v>550000</v>
      </c>
      <c r="L35" s="9">
        <f t="shared" si="2"/>
        <v>50000</v>
      </c>
      <c r="M35" s="3">
        <v>33</v>
      </c>
      <c r="N35" s="3"/>
      <c r="O35" s="3"/>
      <c r="P35" s="3"/>
      <c r="Q35" s="3"/>
      <c r="S35" s="51">
        <v>34</v>
      </c>
      <c r="T35" s="31">
        <v>38.190000000000055</v>
      </c>
      <c r="U35" s="31">
        <f t="shared" si="7"/>
        <v>49.2</v>
      </c>
      <c r="V35" s="31"/>
      <c r="W35" s="31"/>
    </row>
    <row r="36" spans="1:23" ht="15.75" x14ac:dyDescent="0.3">
      <c r="A36" s="3">
        <v>34</v>
      </c>
      <c r="B36" s="3">
        <v>24</v>
      </c>
      <c r="C36" s="14">
        <f>VLOOKUP(A36,新Rank经验值投放!$A:$B,2,FALSE)</f>
        <v>39.01785714285711</v>
      </c>
      <c r="D36" s="14">
        <f t="shared" si="0"/>
        <v>936.42857142857065</v>
      </c>
      <c r="F36" s="7">
        <v>34</v>
      </c>
      <c r="G36" s="8">
        <v>49.2</v>
      </c>
      <c r="H36" s="8">
        <f t="shared" si="3"/>
        <v>653.16072502043653</v>
      </c>
      <c r="I36" s="3">
        <f t="shared" si="1"/>
        <v>34</v>
      </c>
      <c r="J36" s="3">
        <f t="shared" si="4"/>
        <v>576800</v>
      </c>
      <c r="K36" s="3">
        <v>600000</v>
      </c>
      <c r="L36" s="9">
        <f t="shared" si="2"/>
        <v>50000</v>
      </c>
      <c r="M36" s="3">
        <v>34</v>
      </c>
      <c r="N36" s="3"/>
      <c r="O36" s="3"/>
      <c r="P36" s="3"/>
      <c r="Q36" s="3"/>
      <c r="S36" s="51">
        <v>35</v>
      </c>
      <c r="T36" s="31">
        <v>39.330000000000041</v>
      </c>
      <c r="U36" s="31">
        <f t="shared" si="7"/>
        <v>51.8</v>
      </c>
      <c r="V36" s="31"/>
      <c r="W36" s="31"/>
    </row>
    <row r="37" spans="1:23" ht="15.75" x14ac:dyDescent="0.3">
      <c r="A37" s="3">
        <v>35</v>
      </c>
      <c r="B37" s="3">
        <v>24</v>
      </c>
      <c r="C37" s="14">
        <f>VLOOKUP(A37,新Rank经验值投放!$A:$B,2,FALSE)</f>
        <v>39.01785714285711</v>
      </c>
      <c r="D37" s="14">
        <f t="shared" si="0"/>
        <v>936.42857142857065</v>
      </c>
      <c r="F37" s="7">
        <v>35</v>
      </c>
      <c r="G37" s="8">
        <v>51.8</v>
      </c>
      <c r="H37" s="8">
        <f t="shared" si="3"/>
        <v>704.96072502043648</v>
      </c>
      <c r="I37" s="3">
        <f t="shared" si="1"/>
        <v>35</v>
      </c>
      <c r="J37" s="3">
        <f t="shared" si="4"/>
        <v>625400</v>
      </c>
      <c r="K37" s="3">
        <v>650000</v>
      </c>
      <c r="L37" s="9">
        <f t="shared" si="2"/>
        <v>50000</v>
      </c>
      <c r="M37" s="3">
        <v>35</v>
      </c>
      <c r="N37" s="3"/>
      <c r="O37" s="3"/>
      <c r="P37" s="3"/>
      <c r="Q37" s="3"/>
      <c r="S37" s="51">
        <v>36</v>
      </c>
      <c r="T37" s="31">
        <v>40.470000000000027</v>
      </c>
      <c r="U37" s="31">
        <f t="shared" si="7"/>
        <v>54.400000000000006</v>
      </c>
      <c r="V37" s="31"/>
      <c r="W37" s="31"/>
    </row>
    <row r="38" spans="1:23" ht="15.75" x14ac:dyDescent="0.3">
      <c r="A38" s="3">
        <v>36</v>
      </c>
      <c r="B38" s="3">
        <v>24</v>
      </c>
      <c r="C38" s="14">
        <f>VLOOKUP(A38,新Rank经验值投放!$A:$B,2,FALSE)</f>
        <v>39.01785714285711</v>
      </c>
      <c r="D38" s="14">
        <f t="shared" si="0"/>
        <v>936.42857142857065</v>
      </c>
      <c r="F38" s="7">
        <v>36</v>
      </c>
      <c r="G38" s="8">
        <v>54.400000000000006</v>
      </c>
      <c r="H38" s="8">
        <f t="shared" si="3"/>
        <v>759.36072502043646</v>
      </c>
      <c r="I38" s="3">
        <f t="shared" si="1"/>
        <v>36</v>
      </c>
      <c r="J38" s="3">
        <f t="shared" si="4"/>
        <v>676400</v>
      </c>
      <c r="K38" s="3">
        <v>700000</v>
      </c>
      <c r="L38" s="9">
        <f t="shared" si="2"/>
        <v>50000</v>
      </c>
      <c r="M38" s="3">
        <v>36</v>
      </c>
      <c r="N38" s="3"/>
      <c r="O38" s="3"/>
      <c r="P38" s="3"/>
      <c r="Q38" s="3"/>
      <c r="T38">
        <f>SUM(T2:T37)</f>
        <v>726.84072502043637</v>
      </c>
      <c r="U38">
        <f>SUM(U2:U37)</f>
        <v>759.36072502043646</v>
      </c>
    </row>
    <row r="39" spans="1:23" ht="15.75" x14ac:dyDescent="0.3">
      <c r="A39" s="9"/>
      <c r="B39" s="9"/>
      <c r="C39" s="9"/>
      <c r="D39" s="10"/>
      <c r="E39" s="9"/>
      <c r="F39" s="9"/>
      <c r="G39" s="9"/>
      <c r="H39" s="9"/>
      <c r="K39" s="52">
        <v>750000</v>
      </c>
    </row>
    <row r="40" spans="1:23" ht="15.75" x14ac:dyDescent="0.3">
      <c r="A40" s="9" t="s">
        <v>991</v>
      </c>
      <c r="B40" s="9"/>
      <c r="C40" s="9"/>
      <c r="D40" s="10"/>
      <c r="E40" s="9"/>
      <c r="F40" s="9"/>
      <c r="G40" s="9"/>
      <c r="H40" s="9"/>
    </row>
    <row r="41" spans="1:23" x14ac:dyDescent="0.2">
      <c r="A41" s="3" t="s">
        <v>10</v>
      </c>
      <c r="B41" s="3" t="s">
        <v>992</v>
      </c>
      <c r="C41" s="3" t="s">
        <v>1055</v>
      </c>
      <c r="D41" s="3" t="s">
        <v>993</v>
      </c>
      <c r="E41" s="5" t="s">
        <v>994</v>
      </c>
      <c r="F41" s="5" t="s">
        <v>995</v>
      </c>
      <c r="G41" s="5" t="s">
        <v>996</v>
      </c>
      <c r="H41" s="3" t="s">
        <v>1067</v>
      </c>
      <c r="I41" s="3" t="s">
        <v>1068</v>
      </c>
      <c r="J41" s="3" t="s">
        <v>1069</v>
      </c>
      <c r="K41" s="3" t="s">
        <v>1070</v>
      </c>
      <c r="L41" s="3" t="s">
        <v>1071</v>
      </c>
      <c r="M41" s="3" t="s">
        <v>1077</v>
      </c>
      <c r="N41" s="3" t="s">
        <v>997</v>
      </c>
      <c r="O41" s="5" t="s">
        <v>998</v>
      </c>
      <c r="P41" s="5" t="s">
        <v>999</v>
      </c>
      <c r="Q41" s="5" t="s">
        <v>1000</v>
      </c>
    </row>
    <row r="42" spans="1:23" x14ac:dyDescent="0.2">
      <c r="A42" s="3">
        <v>1</v>
      </c>
      <c r="B42" s="3">
        <v>0</v>
      </c>
      <c r="C42" s="3">
        <f>新Rank经验值投放!B2</f>
        <v>3.45</v>
      </c>
      <c r="D42" s="3">
        <f>新Rank经验值投放!C2</f>
        <v>0.23</v>
      </c>
      <c r="E42" s="3">
        <f>新Rank经验值投放!D2</f>
        <v>0.46</v>
      </c>
      <c r="F42" s="3">
        <f>新Rank经验值投放!E2</f>
        <v>6.9</v>
      </c>
      <c r="G42" s="3">
        <f>新Rank经验值投放!F2</f>
        <v>15.122500000000008</v>
      </c>
      <c r="H42" s="3">
        <v>1</v>
      </c>
      <c r="I42" s="3">
        <v>1</v>
      </c>
      <c r="J42" s="3">
        <v>1</v>
      </c>
      <c r="K42" s="3">
        <v>2</v>
      </c>
      <c r="L42" s="3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</row>
    <row r="43" spans="1:23" x14ac:dyDescent="0.2">
      <c r="A43" s="3">
        <v>2</v>
      </c>
      <c r="B43" s="3">
        <f>VLOOKUP(A43,$F$2:$K$38,6)-VLOOKUP(A43-1,$F$2:$K$38,6)</f>
        <v>100</v>
      </c>
      <c r="C43" s="3">
        <f>新Rank经验值投放!B3</f>
        <v>13.8</v>
      </c>
      <c r="D43" s="3">
        <f>新Rank经验值投放!C3</f>
        <v>4.2933333333333348</v>
      </c>
      <c r="E43" s="3">
        <f>新Rank经验值投放!D3</f>
        <v>9.0083333333333346</v>
      </c>
      <c r="F43" s="3">
        <f>新Rank经验值投放!E3</f>
        <v>23</v>
      </c>
      <c r="G43" s="3">
        <f>新Rank经验值投放!F3</f>
        <v>53.015000000000036</v>
      </c>
      <c r="H43" s="3">
        <v>2</v>
      </c>
      <c r="I43" s="3">
        <v>1</v>
      </c>
      <c r="J43" s="3">
        <v>1</v>
      </c>
      <c r="K43" s="3">
        <v>4</v>
      </c>
      <c r="L43" s="3">
        <v>7.4000000000000057</v>
      </c>
      <c r="M43" s="14">
        <f>$B43/(C42*H42)+M42</f>
        <v>28.985507246376809</v>
      </c>
      <c r="N43" s="14">
        <f t="shared" ref="N43:Q58" si="8">$B43/(D42*I42)+N42</f>
        <v>434.78260869565213</v>
      </c>
      <c r="O43" s="14">
        <f t="shared" si="8"/>
        <v>217.39130434782606</v>
      </c>
      <c r="P43" s="14">
        <f t="shared" si="8"/>
        <v>7.2463768115942022</v>
      </c>
      <c r="Q43" s="14">
        <f t="shared" si="8"/>
        <v>2.2042210833746614</v>
      </c>
    </row>
    <row r="44" spans="1:23" x14ac:dyDescent="0.2">
      <c r="A44" s="3">
        <v>3</v>
      </c>
      <c r="B44" s="3">
        <f t="shared" ref="B44:B77" si="9">VLOOKUP(A44,$F$2:$K$38,6)-VLOOKUP(A44-1,$F$2:$K$38,6)</f>
        <v>100</v>
      </c>
      <c r="C44" s="3">
        <f>新Rank经验值投放!B4</f>
        <v>17.48</v>
      </c>
      <c r="D44" s="3">
        <f>新Rank经验值投放!C4</f>
        <v>4.6000000000000005</v>
      </c>
      <c r="E44" s="3">
        <f>新Rank经验值投放!D4</f>
        <v>10.656666666666666</v>
      </c>
      <c r="F44" s="3">
        <f>新Rank经验值投放!E4</f>
        <v>26.532142857142858</v>
      </c>
      <c r="G44" s="3">
        <f>新Rank经验值投放!F4</f>
        <v>68.808333333333323</v>
      </c>
      <c r="H44" s="3">
        <v>2</v>
      </c>
      <c r="I44" s="3">
        <v>1</v>
      </c>
      <c r="J44" s="3">
        <v>1</v>
      </c>
      <c r="K44" s="3">
        <v>5</v>
      </c>
      <c r="L44" s="3">
        <v>10</v>
      </c>
      <c r="M44" s="14">
        <f t="shared" ref="M44:M77" si="10">$B44/(C43*H43)+M43</f>
        <v>32.608695652173907</v>
      </c>
      <c r="N44" s="14">
        <f t="shared" si="8"/>
        <v>458.07453416149065</v>
      </c>
      <c r="O44" s="14">
        <f t="shared" si="8"/>
        <v>228.49213691026824</v>
      </c>
      <c r="P44" s="14">
        <f t="shared" si="8"/>
        <v>8.3333333333333321</v>
      </c>
      <c r="Q44" s="14">
        <f t="shared" si="8"/>
        <v>2.4591208950037</v>
      </c>
    </row>
    <row r="45" spans="1:23" x14ac:dyDescent="0.2">
      <c r="A45" s="3">
        <v>4</v>
      </c>
      <c r="B45" s="3">
        <f t="shared" si="9"/>
        <v>100</v>
      </c>
      <c r="C45" s="3">
        <f>新Rank经验值投放!B5</f>
        <v>19.25</v>
      </c>
      <c r="D45" s="3">
        <f>新Rank经验值投放!C5</f>
        <v>6.9</v>
      </c>
      <c r="E45" s="3">
        <f>新Rank经验值投放!D5</f>
        <v>11.5</v>
      </c>
      <c r="F45" s="3">
        <f>新Rank经验值投放!E5</f>
        <v>28.43375</v>
      </c>
      <c r="G45" s="3">
        <f>新Rank经验值投放!F5</f>
        <v>48.855172413793142</v>
      </c>
      <c r="H45" s="3">
        <v>3</v>
      </c>
      <c r="I45" s="3">
        <v>1</v>
      </c>
      <c r="J45" s="3">
        <v>1</v>
      </c>
      <c r="K45" s="3">
        <v>9</v>
      </c>
      <c r="L45" s="3">
        <v>19</v>
      </c>
      <c r="M45" s="14">
        <f t="shared" si="10"/>
        <v>35.469107551487411</v>
      </c>
      <c r="N45" s="14">
        <f t="shared" si="8"/>
        <v>479.81366459627327</v>
      </c>
      <c r="O45" s="14">
        <f t="shared" si="8"/>
        <v>237.87593422024634</v>
      </c>
      <c r="P45" s="14">
        <f t="shared" si="8"/>
        <v>9.0871359985641842</v>
      </c>
      <c r="Q45" s="14">
        <f t="shared" si="8"/>
        <v>2.6044521291080964</v>
      </c>
    </row>
    <row r="46" spans="1:23" x14ac:dyDescent="0.2">
      <c r="A46" s="3">
        <v>5</v>
      </c>
      <c r="B46" s="3">
        <f t="shared" si="9"/>
        <v>300</v>
      </c>
      <c r="C46" s="3">
        <f>新Rank经验值投放!B6</f>
        <v>16.915454545454548</v>
      </c>
      <c r="D46" s="3">
        <f>新Rank经验值投放!C6</f>
        <v>7.4750000000000005</v>
      </c>
      <c r="E46" s="3">
        <f>新Rank经验值投放!D6</f>
        <v>12.266666666666667</v>
      </c>
      <c r="F46" s="3">
        <f>新Rank经验值投放!E6</f>
        <v>25.673750000000002</v>
      </c>
      <c r="G46" s="3">
        <f>新Rank经验值投放!F6</f>
        <v>42.847413793103421</v>
      </c>
      <c r="H46" s="3">
        <v>3</v>
      </c>
      <c r="I46" s="3">
        <v>1</v>
      </c>
      <c r="J46" s="3">
        <v>1</v>
      </c>
      <c r="K46" s="3">
        <v>7</v>
      </c>
      <c r="L46" s="3">
        <v>11</v>
      </c>
      <c r="M46" s="14">
        <f t="shared" si="10"/>
        <v>40.66391274629261</v>
      </c>
      <c r="N46" s="14">
        <f t="shared" si="8"/>
        <v>523.29192546583852</v>
      </c>
      <c r="O46" s="14">
        <f t="shared" si="8"/>
        <v>263.96289074198546</v>
      </c>
      <c r="P46" s="14">
        <f t="shared" si="8"/>
        <v>10.259451761815015</v>
      </c>
      <c r="Q46" s="14">
        <f t="shared" si="8"/>
        <v>2.9276415255240371</v>
      </c>
    </row>
    <row r="47" spans="1:23" x14ac:dyDescent="0.2">
      <c r="A47" s="3">
        <v>6</v>
      </c>
      <c r="B47" s="3">
        <f t="shared" si="9"/>
        <v>300</v>
      </c>
      <c r="C47" s="3">
        <f>新Rank经验值投放!B7</f>
        <v>17.25</v>
      </c>
      <c r="D47" s="3">
        <f>新Rank经验值投放!C7</f>
        <v>3.3120000000000012</v>
      </c>
      <c r="E47" s="3">
        <f>新Rank经验值投放!D7</f>
        <v>12.65</v>
      </c>
      <c r="F47" s="3">
        <f>新Rank经验值投放!E7</f>
        <v>22.178571428571431</v>
      </c>
      <c r="G47" s="3">
        <f>新Rank经验值投放!F7</f>
        <v>30.850666666666665</v>
      </c>
      <c r="H47" s="3">
        <v>5</v>
      </c>
      <c r="I47" s="3">
        <v>1</v>
      </c>
      <c r="J47" s="3">
        <v>2</v>
      </c>
      <c r="K47" s="3">
        <v>9</v>
      </c>
      <c r="L47" s="3">
        <v>15</v>
      </c>
      <c r="M47" s="14">
        <f t="shared" si="10"/>
        <v>46.575666387395422</v>
      </c>
      <c r="N47" s="14">
        <f t="shared" si="8"/>
        <v>563.42570473005253</v>
      </c>
      <c r="O47" s="14">
        <f t="shared" si="8"/>
        <v>288.4194124811159</v>
      </c>
      <c r="P47" s="14">
        <f t="shared" si="8"/>
        <v>11.928749891505568</v>
      </c>
      <c r="Q47" s="14">
        <f t="shared" si="8"/>
        <v>3.5641496565496023</v>
      </c>
    </row>
    <row r="48" spans="1:23" x14ac:dyDescent="0.2">
      <c r="A48" s="3">
        <v>7</v>
      </c>
      <c r="B48" s="3">
        <f t="shared" si="9"/>
        <v>500</v>
      </c>
      <c r="C48" s="3">
        <f>新Rank经验值投放!B8</f>
        <v>14.950000000000001</v>
      </c>
      <c r="D48" s="3">
        <f>新Rank经验值投放!C8</f>
        <v>8.0500000000000007</v>
      </c>
      <c r="E48" s="3">
        <f>新Rank经验值投放!D8</f>
        <v>9.89</v>
      </c>
      <c r="F48" s="3">
        <f>新Rank经验值投放!E8</f>
        <v>26.130555555555556</v>
      </c>
      <c r="G48" s="3">
        <f>新Rank经验值投放!F8</f>
        <v>36.340000000000003</v>
      </c>
      <c r="H48" s="3">
        <v>2</v>
      </c>
      <c r="I48" s="3">
        <v>1</v>
      </c>
      <c r="J48" s="3">
        <v>1</v>
      </c>
      <c r="K48" s="3">
        <v>6</v>
      </c>
      <c r="L48" s="3">
        <v>12</v>
      </c>
      <c r="M48" s="14">
        <f t="shared" si="10"/>
        <v>52.372767836670782</v>
      </c>
      <c r="N48" s="14">
        <f t="shared" si="8"/>
        <v>714.39188830493174</v>
      </c>
      <c r="O48" s="14">
        <f t="shared" si="8"/>
        <v>308.18225833091827</v>
      </c>
      <c r="P48" s="14">
        <f t="shared" si="8"/>
        <v>14.433670270822082</v>
      </c>
      <c r="Q48" s="14">
        <f t="shared" si="8"/>
        <v>4.6446233362107652</v>
      </c>
    </row>
    <row r="49" spans="1:17" x14ac:dyDescent="0.2">
      <c r="A49" s="3">
        <v>8</v>
      </c>
      <c r="B49" s="3">
        <f t="shared" si="9"/>
        <v>500</v>
      </c>
      <c r="C49" s="3">
        <f>新Rank经验值投放!B9</f>
        <v>20.125</v>
      </c>
      <c r="D49" s="3">
        <f>新Rank经验值投放!C9</f>
        <v>10.35</v>
      </c>
      <c r="E49" s="3">
        <f>新Rank经验值投放!D9</f>
        <v>14.26</v>
      </c>
      <c r="F49" s="3">
        <f>新Rank经验值投放!E9</f>
        <v>31.133636363636366</v>
      </c>
      <c r="G49" s="3">
        <f>新Rank经验值投放!F9</f>
        <v>45.242916666666687</v>
      </c>
      <c r="H49" s="3">
        <v>5</v>
      </c>
      <c r="I49" s="3">
        <v>1</v>
      </c>
      <c r="J49" s="3">
        <v>2</v>
      </c>
      <c r="K49" s="3">
        <v>9</v>
      </c>
      <c r="L49" s="3">
        <v>16</v>
      </c>
      <c r="M49" s="14">
        <f t="shared" si="10"/>
        <v>69.095175863426633</v>
      </c>
      <c r="N49" s="14">
        <f t="shared" si="8"/>
        <v>776.50368954716771</v>
      </c>
      <c r="O49" s="14">
        <f t="shared" si="8"/>
        <v>358.73837562111038</v>
      </c>
      <c r="P49" s="14">
        <f t="shared" si="8"/>
        <v>17.622784760032246</v>
      </c>
      <c r="Q49" s="14">
        <f t="shared" si="8"/>
        <v>5.7912019456402275</v>
      </c>
    </row>
    <row r="50" spans="1:17" x14ac:dyDescent="0.2">
      <c r="A50" s="3">
        <v>9</v>
      </c>
      <c r="B50" s="3">
        <f t="shared" si="9"/>
        <v>900</v>
      </c>
      <c r="C50" s="3">
        <f>新Rank经验值投放!B10</f>
        <v>26.450000000000003</v>
      </c>
      <c r="D50" s="3">
        <f>新Rank经验值投放!C10</f>
        <v>14.112142857142858</v>
      </c>
      <c r="E50" s="3">
        <f>新Rank经验值投放!D10</f>
        <v>19.102777777777774</v>
      </c>
      <c r="F50" s="3">
        <f>新Rank经验值投放!E10</f>
        <v>37.539285714285718</v>
      </c>
      <c r="G50" s="3">
        <f>新Rank经验值投放!F10</f>
        <v>48.870399999999997</v>
      </c>
      <c r="H50" s="3">
        <v>10</v>
      </c>
      <c r="I50" s="3">
        <v>1</v>
      </c>
      <c r="J50" s="3">
        <v>5</v>
      </c>
      <c r="K50" s="3">
        <v>16</v>
      </c>
      <c r="L50" s="3">
        <v>25</v>
      </c>
      <c r="M50" s="14">
        <f t="shared" si="10"/>
        <v>78.039275242308619</v>
      </c>
      <c r="N50" s="14">
        <f t="shared" si="8"/>
        <v>863.46021128629809</v>
      </c>
      <c r="O50" s="14">
        <f t="shared" si="8"/>
        <v>390.29517786514964</v>
      </c>
      <c r="P50" s="14">
        <f t="shared" si="8"/>
        <v>20.834744931726117</v>
      </c>
      <c r="Q50" s="14">
        <f t="shared" si="8"/>
        <v>7.0344904898874852</v>
      </c>
    </row>
    <row r="51" spans="1:17" x14ac:dyDescent="0.2">
      <c r="A51" s="3">
        <v>10</v>
      </c>
      <c r="B51" s="3">
        <f t="shared" si="9"/>
        <v>2200</v>
      </c>
      <c r="C51" s="3">
        <f>新Rank经验值投放!B11</f>
        <v>39.017857142857146</v>
      </c>
      <c r="D51" s="3">
        <f>新Rank经验值投放!C11</f>
        <v>22.472447552447555</v>
      </c>
      <c r="E51" s="3">
        <f>新Rank经验值投放!D11</f>
        <v>30.455172413793107</v>
      </c>
      <c r="F51" s="3">
        <f>新Rank经验值投放!E11</f>
        <v>48.012500000000003</v>
      </c>
      <c r="G51" s="3">
        <f>新Rank经验值投放!F11</f>
        <v>60.216780219780226</v>
      </c>
      <c r="H51" s="3">
        <v>24</v>
      </c>
      <c r="I51" s="3">
        <v>5</v>
      </c>
      <c r="J51" s="3">
        <v>12</v>
      </c>
      <c r="K51" s="3">
        <v>42</v>
      </c>
      <c r="L51" s="3">
        <v>64.200000000000017</v>
      </c>
      <c r="M51" s="14">
        <f t="shared" si="10"/>
        <v>86.356855582573274</v>
      </c>
      <c r="N51" s="14">
        <f t="shared" si="8"/>
        <v>1019.354324765065</v>
      </c>
      <c r="O51" s="14">
        <f t="shared" si="8"/>
        <v>413.32847726895943</v>
      </c>
      <c r="P51" s="14">
        <f t="shared" si="8"/>
        <v>24.497574348527564</v>
      </c>
      <c r="Q51" s="14">
        <f t="shared" si="8"/>
        <v>8.8351714746962848</v>
      </c>
    </row>
    <row r="52" spans="1:17" x14ac:dyDescent="0.2">
      <c r="A52" s="3">
        <v>11</v>
      </c>
      <c r="B52" s="3">
        <f t="shared" si="9"/>
        <v>5000</v>
      </c>
      <c r="C52" s="3">
        <f>新Rank经验值投放!B12</f>
        <v>39.017857142857146</v>
      </c>
      <c r="D52" s="3">
        <f>新Rank经验值投放!C12</f>
        <v>22.472447552447555</v>
      </c>
      <c r="E52" s="3">
        <f>新Rank经验值投放!D12</f>
        <v>30.455172413793107</v>
      </c>
      <c r="F52" s="3">
        <f>新Rank经验值投放!E12</f>
        <v>48.012500000000003</v>
      </c>
      <c r="G52" s="3">
        <f>新Rank经验值投放!F12</f>
        <v>60.216780219780226</v>
      </c>
      <c r="H52" s="3">
        <v>24</v>
      </c>
      <c r="I52" s="3">
        <v>5</v>
      </c>
      <c r="J52" s="3">
        <v>12</v>
      </c>
      <c r="K52" s="3">
        <v>42</v>
      </c>
      <c r="L52" s="3">
        <v>64.200000000000017</v>
      </c>
      <c r="M52" s="14">
        <f t="shared" si="10"/>
        <v>91.696291127958474</v>
      </c>
      <c r="N52" s="14">
        <f t="shared" si="8"/>
        <v>1063.8532605247833</v>
      </c>
      <c r="O52" s="14">
        <f t="shared" si="8"/>
        <v>427.00978765543289</v>
      </c>
      <c r="P52" s="14">
        <f t="shared" si="8"/>
        <v>26.97708737216972</v>
      </c>
      <c r="Q52" s="14">
        <f t="shared" si="8"/>
        <v>10.128525580535904</v>
      </c>
    </row>
    <row r="53" spans="1:17" x14ac:dyDescent="0.2">
      <c r="A53" s="3">
        <v>12</v>
      </c>
      <c r="B53" s="3">
        <f t="shared" si="9"/>
        <v>10000</v>
      </c>
      <c r="C53" s="3">
        <f>新Rank经验值投放!B13</f>
        <v>39.01785714285711</v>
      </c>
      <c r="D53" s="3">
        <f>新Rank经验值投放!C13</f>
        <v>22.472447552447555</v>
      </c>
      <c r="E53" s="3">
        <f>新Rank经验值投放!D13</f>
        <v>30.45517241379304</v>
      </c>
      <c r="F53" s="3">
        <f>新Rank经验值投放!E13</f>
        <v>48.012500000000003</v>
      </c>
      <c r="G53" s="3">
        <f>新Rank经验值投放!F13</f>
        <v>60.21678021978024</v>
      </c>
      <c r="H53" s="3">
        <v>24</v>
      </c>
      <c r="I53" s="3">
        <v>5</v>
      </c>
      <c r="J53" s="3">
        <v>12</v>
      </c>
      <c r="K53" s="3">
        <v>42</v>
      </c>
      <c r="L53" s="3">
        <v>64.2</v>
      </c>
      <c r="M53" s="14">
        <f t="shared" si="10"/>
        <v>102.37516221872887</v>
      </c>
      <c r="N53" s="14">
        <f t="shared" si="8"/>
        <v>1152.8511320442196</v>
      </c>
      <c r="O53" s="14">
        <f t="shared" si="8"/>
        <v>454.37240842837974</v>
      </c>
      <c r="P53" s="14">
        <f t="shared" si="8"/>
        <v>31.936113419454031</v>
      </c>
      <c r="Q53" s="14">
        <f t="shared" si="8"/>
        <v>12.715233792215141</v>
      </c>
    </row>
    <row r="54" spans="1:17" x14ac:dyDescent="0.2">
      <c r="A54" s="3">
        <v>13</v>
      </c>
      <c r="B54" s="3">
        <f t="shared" si="9"/>
        <v>10000</v>
      </c>
      <c r="C54" s="3">
        <f>新Rank经验值投放!B14</f>
        <v>39.01785714285711</v>
      </c>
      <c r="D54" s="3">
        <f>新Rank经验值投放!C14</f>
        <v>22.472447552447555</v>
      </c>
      <c r="E54" s="3">
        <f>新Rank经验值投放!D14</f>
        <v>30.45517241379304</v>
      </c>
      <c r="F54" s="3">
        <f>新Rank经验值投放!E14</f>
        <v>48.012500000000003</v>
      </c>
      <c r="G54" s="3">
        <f>新Rank经验值投放!F14</f>
        <v>60.21678021978024</v>
      </c>
      <c r="H54" s="3">
        <v>24</v>
      </c>
      <c r="I54" s="3">
        <v>5</v>
      </c>
      <c r="J54" s="3">
        <v>12</v>
      </c>
      <c r="K54" s="3">
        <v>42</v>
      </c>
      <c r="L54" s="3">
        <v>64.2</v>
      </c>
      <c r="M54" s="14">
        <f t="shared" si="10"/>
        <v>113.05403330949929</v>
      </c>
      <c r="N54" s="14">
        <f t="shared" si="8"/>
        <v>1241.849003563656</v>
      </c>
      <c r="O54" s="14">
        <f t="shared" si="8"/>
        <v>481.73502920132665</v>
      </c>
      <c r="P54" s="14">
        <f t="shared" si="8"/>
        <v>36.895139466738343</v>
      </c>
      <c r="Q54" s="14">
        <f t="shared" si="8"/>
        <v>15.301942003894379</v>
      </c>
    </row>
    <row r="55" spans="1:17" x14ac:dyDescent="0.2">
      <c r="A55" s="3">
        <v>14</v>
      </c>
      <c r="B55" s="3">
        <f t="shared" si="9"/>
        <v>10000</v>
      </c>
      <c r="C55" s="3">
        <f>新Rank经验值投放!B15</f>
        <v>39.01785714285711</v>
      </c>
      <c r="D55" s="3">
        <f>新Rank经验值投放!C15</f>
        <v>22.472447552447555</v>
      </c>
      <c r="E55" s="3">
        <f>新Rank经验值投放!D15</f>
        <v>30.45517241379304</v>
      </c>
      <c r="F55" s="3">
        <f>新Rank经验值投放!E15</f>
        <v>48.012500000000003</v>
      </c>
      <c r="G55" s="3">
        <f>新Rank经验值投放!F15</f>
        <v>60.21678021978024</v>
      </c>
      <c r="H55" s="3">
        <v>24</v>
      </c>
      <c r="I55" s="3">
        <v>5</v>
      </c>
      <c r="J55" s="3">
        <v>12</v>
      </c>
      <c r="K55" s="3">
        <v>42</v>
      </c>
      <c r="L55" s="3">
        <v>64.2</v>
      </c>
      <c r="M55" s="14">
        <f t="shared" si="10"/>
        <v>123.7329044002697</v>
      </c>
      <c r="N55" s="14">
        <f t="shared" si="8"/>
        <v>1330.8468750830923</v>
      </c>
      <c r="O55" s="14">
        <f t="shared" si="8"/>
        <v>509.09764997427357</v>
      </c>
      <c r="P55" s="14">
        <f t="shared" si="8"/>
        <v>41.854165514022654</v>
      </c>
      <c r="Q55" s="14">
        <f t="shared" si="8"/>
        <v>17.888650215573616</v>
      </c>
    </row>
    <row r="56" spans="1:17" x14ac:dyDescent="0.2">
      <c r="A56" s="3">
        <v>15</v>
      </c>
      <c r="B56" s="3">
        <f t="shared" si="9"/>
        <v>10000</v>
      </c>
      <c r="C56" s="3">
        <f>新Rank经验值投放!B16</f>
        <v>39.01785714285711</v>
      </c>
      <c r="D56" s="3">
        <f>新Rank经验值投放!C16</f>
        <v>22.472447552447555</v>
      </c>
      <c r="E56" s="3">
        <f>新Rank经验值投放!D16</f>
        <v>30.45517241379304</v>
      </c>
      <c r="F56" s="3">
        <f>新Rank经验值投放!E16</f>
        <v>48.012500000000003</v>
      </c>
      <c r="G56" s="3">
        <f>新Rank经验值投放!F16</f>
        <v>60.21678021978024</v>
      </c>
      <c r="H56" s="3">
        <v>24</v>
      </c>
      <c r="I56" s="3">
        <v>5</v>
      </c>
      <c r="J56" s="3">
        <v>12</v>
      </c>
      <c r="K56" s="3">
        <v>42</v>
      </c>
      <c r="L56" s="3">
        <v>64.2</v>
      </c>
      <c r="M56" s="14">
        <f t="shared" si="10"/>
        <v>134.41177549104012</v>
      </c>
      <c r="N56" s="14">
        <f t="shared" si="8"/>
        <v>1419.8447466025286</v>
      </c>
      <c r="O56" s="14">
        <f t="shared" si="8"/>
        <v>536.46027074722053</v>
      </c>
      <c r="P56" s="14">
        <f t="shared" si="8"/>
        <v>46.813191561306965</v>
      </c>
      <c r="Q56" s="14">
        <f t="shared" si="8"/>
        <v>20.475358427252853</v>
      </c>
    </row>
    <row r="57" spans="1:17" x14ac:dyDescent="0.2">
      <c r="A57" s="3">
        <v>16</v>
      </c>
      <c r="B57" s="3">
        <f t="shared" si="9"/>
        <v>10000</v>
      </c>
      <c r="C57" s="3">
        <f>新Rank经验值投放!B17</f>
        <v>39.01785714285711</v>
      </c>
      <c r="D57" s="3">
        <f>新Rank经验值投放!C17</f>
        <v>22.472447552447555</v>
      </c>
      <c r="E57" s="3">
        <f>新Rank经验值投放!D17</f>
        <v>30.45517241379304</v>
      </c>
      <c r="F57" s="3">
        <f>新Rank经验值投放!E17</f>
        <v>48.012500000000003</v>
      </c>
      <c r="G57" s="3">
        <f>新Rank经验值投放!F17</f>
        <v>60.21678021978024</v>
      </c>
      <c r="H57" s="3">
        <v>24</v>
      </c>
      <c r="I57" s="3">
        <v>5</v>
      </c>
      <c r="J57" s="3">
        <v>12</v>
      </c>
      <c r="K57" s="3">
        <v>42</v>
      </c>
      <c r="L57" s="3">
        <v>64.2</v>
      </c>
      <c r="M57" s="14">
        <f t="shared" si="10"/>
        <v>145.09064658181052</v>
      </c>
      <c r="N57" s="14">
        <f t="shared" si="8"/>
        <v>1508.842618121965</v>
      </c>
      <c r="O57" s="14">
        <f t="shared" si="8"/>
        <v>563.82289152016745</v>
      </c>
      <c r="P57" s="14">
        <f t="shared" si="8"/>
        <v>51.772217608591276</v>
      </c>
      <c r="Q57" s="14">
        <f t="shared" si="8"/>
        <v>23.062066638932091</v>
      </c>
    </row>
    <row r="58" spans="1:17" x14ac:dyDescent="0.2">
      <c r="A58" s="3">
        <v>17</v>
      </c>
      <c r="B58" s="3">
        <f t="shared" si="9"/>
        <v>20000</v>
      </c>
      <c r="C58" s="3">
        <f>新Rank经验值投放!B18</f>
        <v>39.01785714285711</v>
      </c>
      <c r="D58" s="3">
        <f>新Rank经验值投放!C18</f>
        <v>22.472447552447555</v>
      </c>
      <c r="E58" s="3">
        <f>新Rank经验值投放!D18</f>
        <v>30.45517241379304</v>
      </c>
      <c r="F58" s="3">
        <f>新Rank经验值投放!E18</f>
        <v>48.012500000000003</v>
      </c>
      <c r="G58" s="3">
        <f>新Rank经验值投放!F18</f>
        <v>60.21678021978024</v>
      </c>
      <c r="H58" s="3">
        <v>24</v>
      </c>
      <c r="I58" s="3">
        <v>5</v>
      </c>
      <c r="J58" s="3">
        <v>12</v>
      </c>
      <c r="K58" s="3">
        <v>42</v>
      </c>
      <c r="L58" s="3">
        <v>64.2</v>
      </c>
      <c r="M58" s="14">
        <f t="shared" si="10"/>
        <v>166.44838876335135</v>
      </c>
      <c r="N58" s="14">
        <f t="shared" si="8"/>
        <v>1686.8383611608376</v>
      </c>
      <c r="O58" s="14">
        <f t="shared" si="8"/>
        <v>618.54813306606127</v>
      </c>
      <c r="P58" s="14">
        <f t="shared" si="8"/>
        <v>61.690269703159899</v>
      </c>
      <c r="Q58" s="14">
        <f t="shared" si="8"/>
        <v>28.235483062290566</v>
      </c>
    </row>
    <row r="59" spans="1:17" x14ac:dyDescent="0.2">
      <c r="A59" s="3">
        <v>18</v>
      </c>
      <c r="B59" s="3">
        <f t="shared" si="9"/>
        <v>20000</v>
      </c>
      <c r="C59" s="3">
        <f>新Rank经验值投放!B19</f>
        <v>39.01785714285711</v>
      </c>
      <c r="D59" s="3">
        <f>新Rank经验值投放!C19</f>
        <v>22.472447552447555</v>
      </c>
      <c r="E59" s="3">
        <f>新Rank经验值投放!D19</f>
        <v>30.45517241379304</v>
      </c>
      <c r="F59" s="3">
        <f>新Rank经验值投放!E19</f>
        <v>48.012500000000003</v>
      </c>
      <c r="G59" s="3">
        <f>新Rank经验值投放!F19</f>
        <v>60.21678021978024</v>
      </c>
      <c r="H59" s="3">
        <v>24</v>
      </c>
      <c r="I59" s="3">
        <v>5</v>
      </c>
      <c r="J59" s="3">
        <v>12</v>
      </c>
      <c r="K59" s="3">
        <v>42</v>
      </c>
      <c r="L59" s="3">
        <v>64.2</v>
      </c>
      <c r="M59" s="14">
        <f t="shared" si="10"/>
        <v>187.80613094489217</v>
      </c>
      <c r="N59" s="14">
        <f t="shared" ref="N59:N77" si="11">$B59/(D58*I58)+N58</f>
        <v>1864.8341041997103</v>
      </c>
      <c r="O59" s="14">
        <f t="shared" ref="O59:O77" si="12">$B59/(E58*J58)+O58</f>
        <v>673.27337461195509</v>
      </c>
      <c r="P59" s="14">
        <f t="shared" ref="P59:P77" si="13">$B59/(F58*K58)+P58</f>
        <v>71.608321797728522</v>
      </c>
      <c r="Q59" s="14">
        <f t="shared" ref="Q59:Q77" si="14">$B59/(G58*L58)+Q58</f>
        <v>33.408899485649037</v>
      </c>
    </row>
    <row r="60" spans="1:17" x14ac:dyDescent="0.2">
      <c r="A60" s="3">
        <v>19</v>
      </c>
      <c r="B60" s="3">
        <f t="shared" si="9"/>
        <v>20000</v>
      </c>
      <c r="C60" s="3">
        <f>新Rank经验值投放!B20</f>
        <v>39.01785714285711</v>
      </c>
      <c r="D60" s="3">
        <f>新Rank经验值投放!C20</f>
        <v>22.472447552447555</v>
      </c>
      <c r="E60" s="3">
        <f>新Rank经验值投放!D20</f>
        <v>30.45517241379304</v>
      </c>
      <c r="F60" s="3">
        <f>新Rank经验值投放!E20</f>
        <v>48.012500000000003</v>
      </c>
      <c r="G60" s="3">
        <f>新Rank经验值投放!F20</f>
        <v>60.21678021978024</v>
      </c>
      <c r="H60" s="3">
        <v>24</v>
      </c>
      <c r="I60" s="3">
        <v>5</v>
      </c>
      <c r="J60" s="3">
        <v>12</v>
      </c>
      <c r="K60" s="3">
        <v>42</v>
      </c>
      <c r="L60" s="3">
        <v>64.2</v>
      </c>
      <c r="M60" s="14">
        <f t="shared" si="10"/>
        <v>209.163873126433</v>
      </c>
      <c r="N60" s="14">
        <f t="shared" si="11"/>
        <v>2042.8298472385829</v>
      </c>
      <c r="O60" s="14">
        <f t="shared" si="12"/>
        <v>727.99861615784891</v>
      </c>
      <c r="P60" s="14">
        <f t="shared" si="13"/>
        <v>81.526373892297144</v>
      </c>
      <c r="Q60" s="14">
        <f t="shared" si="14"/>
        <v>38.582315909007512</v>
      </c>
    </row>
    <row r="61" spans="1:17" x14ac:dyDescent="0.2">
      <c r="A61" s="3">
        <v>20</v>
      </c>
      <c r="B61" s="3">
        <f t="shared" si="9"/>
        <v>20000</v>
      </c>
      <c r="C61" s="3">
        <f>新Rank经验值投放!B21</f>
        <v>39.01785714285711</v>
      </c>
      <c r="D61" s="3">
        <f>新Rank经验值投放!C21</f>
        <v>22.472447552447555</v>
      </c>
      <c r="E61" s="3">
        <f>新Rank经验值投放!D21</f>
        <v>30.45517241379304</v>
      </c>
      <c r="F61" s="3">
        <f>新Rank经验值投放!E21</f>
        <v>48.012500000000003</v>
      </c>
      <c r="G61" s="3">
        <f>新Rank经验值投放!F21</f>
        <v>60.21678021978024</v>
      </c>
      <c r="H61" s="3">
        <v>24</v>
      </c>
      <c r="I61" s="3">
        <v>5</v>
      </c>
      <c r="J61" s="3">
        <v>12</v>
      </c>
      <c r="K61" s="3">
        <v>42</v>
      </c>
      <c r="L61" s="3">
        <v>64.2</v>
      </c>
      <c r="M61" s="14">
        <f t="shared" si="10"/>
        <v>230.52161530797383</v>
      </c>
      <c r="N61" s="14">
        <f t="shared" si="11"/>
        <v>2220.8255902774558</v>
      </c>
      <c r="O61" s="14">
        <f t="shared" si="12"/>
        <v>782.72385770374274</v>
      </c>
      <c r="P61" s="14">
        <f t="shared" si="13"/>
        <v>91.444425986865767</v>
      </c>
      <c r="Q61" s="14">
        <f t="shared" si="14"/>
        <v>43.755732332365987</v>
      </c>
    </row>
    <row r="62" spans="1:17" x14ac:dyDescent="0.2">
      <c r="A62" s="3">
        <v>21</v>
      </c>
      <c r="B62" s="3">
        <f t="shared" si="9"/>
        <v>20000</v>
      </c>
      <c r="C62" s="3">
        <f>新Rank经验值投放!B22</f>
        <v>39.01785714285711</v>
      </c>
      <c r="D62" s="3">
        <f>新Rank经验值投放!C22</f>
        <v>22.472447552447555</v>
      </c>
      <c r="E62" s="3">
        <f>新Rank经验值投放!D22</f>
        <v>30.45517241379304</v>
      </c>
      <c r="F62" s="3">
        <f>新Rank经验值投放!E22</f>
        <v>48.012500000000003</v>
      </c>
      <c r="G62" s="3">
        <f>新Rank经验值投放!F22</f>
        <v>60.21678021978024</v>
      </c>
      <c r="H62" s="3">
        <v>24</v>
      </c>
      <c r="I62" s="3">
        <v>5</v>
      </c>
      <c r="J62" s="3">
        <v>12</v>
      </c>
      <c r="K62" s="3">
        <v>42</v>
      </c>
      <c r="L62" s="3">
        <v>64.2</v>
      </c>
      <c r="M62" s="14">
        <f t="shared" si="10"/>
        <v>251.87935748951466</v>
      </c>
      <c r="N62" s="14">
        <f t="shared" si="11"/>
        <v>2398.8213333163285</v>
      </c>
      <c r="O62" s="14">
        <f t="shared" si="12"/>
        <v>837.44909924963656</v>
      </c>
      <c r="P62" s="14">
        <f t="shared" si="13"/>
        <v>101.36247808143439</v>
      </c>
      <c r="Q62" s="14">
        <f t="shared" si="14"/>
        <v>48.929148755724462</v>
      </c>
    </row>
    <row r="63" spans="1:17" x14ac:dyDescent="0.2">
      <c r="A63" s="3">
        <v>22</v>
      </c>
      <c r="B63" s="3">
        <f t="shared" si="9"/>
        <v>20000</v>
      </c>
      <c r="C63" s="3">
        <f>新Rank经验值投放!B23</f>
        <v>39.01785714285711</v>
      </c>
      <c r="D63" s="3">
        <f>新Rank经验值投放!C23</f>
        <v>22.472447552447555</v>
      </c>
      <c r="E63" s="3">
        <f>新Rank经验值投放!D23</f>
        <v>30.45517241379304</v>
      </c>
      <c r="F63" s="3">
        <f>新Rank经验值投放!E23</f>
        <v>48.012500000000003</v>
      </c>
      <c r="G63" s="3">
        <f>新Rank经验值投放!F23</f>
        <v>60.21678021978024</v>
      </c>
      <c r="H63" s="3">
        <v>24</v>
      </c>
      <c r="I63" s="3">
        <v>5</v>
      </c>
      <c r="J63" s="3">
        <v>12</v>
      </c>
      <c r="K63" s="3">
        <v>42</v>
      </c>
      <c r="L63" s="3">
        <v>64.2</v>
      </c>
      <c r="M63" s="14">
        <f t="shared" si="10"/>
        <v>273.23709967105549</v>
      </c>
      <c r="N63" s="14">
        <f t="shared" si="11"/>
        <v>2576.8170763552012</v>
      </c>
      <c r="O63" s="14">
        <f t="shared" si="12"/>
        <v>892.17434079553038</v>
      </c>
      <c r="P63" s="14">
        <f t="shared" si="13"/>
        <v>111.28053017600301</v>
      </c>
      <c r="Q63" s="14">
        <f t="shared" si="14"/>
        <v>54.102565179082937</v>
      </c>
    </row>
    <row r="64" spans="1:17" x14ac:dyDescent="0.2">
      <c r="A64" s="3">
        <v>23</v>
      </c>
      <c r="B64" s="3">
        <f t="shared" si="9"/>
        <v>20000</v>
      </c>
      <c r="C64" s="3">
        <f>新Rank经验值投放!B24</f>
        <v>39.01785714285711</v>
      </c>
      <c r="D64" s="3">
        <f>新Rank经验值投放!C24</f>
        <v>22.472447552447555</v>
      </c>
      <c r="E64" s="3">
        <f>新Rank经验值投放!D24</f>
        <v>30.45517241379304</v>
      </c>
      <c r="F64" s="3">
        <f>新Rank经验值投放!E24</f>
        <v>48.012500000000003</v>
      </c>
      <c r="G64" s="3">
        <f>新Rank经验值投放!F24</f>
        <v>60.21678021978024</v>
      </c>
      <c r="H64" s="3">
        <v>24</v>
      </c>
      <c r="I64" s="3">
        <v>5</v>
      </c>
      <c r="J64" s="3">
        <v>12</v>
      </c>
      <c r="K64" s="3">
        <v>42</v>
      </c>
      <c r="L64" s="3">
        <v>64.2</v>
      </c>
      <c r="M64" s="14">
        <f t="shared" si="10"/>
        <v>294.59484185259629</v>
      </c>
      <c r="N64" s="14">
        <f t="shared" si="11"/>
        <v>2754.8128193940738</v>
      </c>
      <c r="O64" s="14">
        <f t="shared" si="12"/>
        <v>946.89958234142421</v>
      </c>
      <c r="P64" s="14">
        <f t="shared" si="13"/>
        <v>121.19858227057163</v>
      </c>
      <c r="Q64" s="14">
        <f t="shared" si="14"/>
        <v>59.275981602441412</v>
      </c>
    </row>
    <row r="65" spans="1:17" x14ac:dyDescent="0.2">
      <c r="A65" s="3">
        <v>24</v>
      </c>
      <c r="B65" s="3">
        <f t="shared" si="9"/>
        <v>25000</v>
      </c>
      <c r="C65" s="3">
        <f>新Rank经验值投放!B25</f>
        <v>39.01785714285711</v>
      </c>
      <c r="D65" s="3">
        <f>新Rank经验值投放!C25</f>
        <v>22.472447552447555</v>
      </c>
      <c r="E65" s="3">
        <f>新Rank经验值投放!D25</f>
        <v>30.45517241379304</v>
      </c>
      <c r="F65" s="3">
        <f>新Rank经验值投放!E25</f>
        <v>48.012500000000003</v>
      </c>
      <c r="G65" s="3">
        <f>新Rank经验值投放!F25</f>
        <v>60.21678021978024</v>
      </c>
      <c r="H65" s="3">
        <v>24</v>
      </c>
      <c r="I65" s="3">
        <v>5</v>
      </c>
      <c r="J65" s="3">
        <v>12</v>
      </c>
      <c r="K65" s="3">
        <v>42</v>
      </c>
      <c r="L65" s="3">
        <v>64.2</v>
      </c>
      <c r="M65" s="14">
        <f t="shared" si="10"/>
        <v>321.29201957952233</v>
      </c>
      <c r="N65" s="14">
        <f t="shared" si="11"/>
        <v>2977.3074981926648</v>
      </c>
      <c r="O65" s="14">
        <f t="shared" si="12"/>
        <v>1015.3061342737915</v>
      </c>
      <c r="P65" s="14">
        <f t="shared" si="13"/>
        <v>133.59614738878241</v>
      </c>
      <c r="Q65" s="14">
        <f t="shared" si="14"/>
        <v>65.742752131639506</v>
      </c>
    </row>
    <row r="66" spans="1:17" x14ac:dyDescent="0.2">
      <c r="A66" s="3">
        <v>25</v>
      </c>
      <c r="B66" s="3">
        <f t="shared" si="9"/>
        <v>25000</v>
      </c>
      <c r="C66" s="3">
        <f>新Rank经验值投放!B26</f>
        <v>39.01785714285711</v>
      </c>
      <c r="D66" s="3">
        <f>新Rank经验值投放!C26</f>
        <v>22.472447552447555</v>
      </c>
      <c r="E66" s="3">
        <f>新Rank经验值投放!D26</f>
        <v>30.45517241379304</v>
      </c>
      <c r="F66" s="3">
        <f>新Rank经验值投放!E26</f>
        <v>48.012500000000003</v>
      </c>
      <c r="G66" s="3">
        <f>新Rank经验值投放!F26</f>
        <v>60.21678021978024</v>
      </c>
      <c r="H66" s="3">
        <v>24</v>
      </c>
      <c r="I66" s="3">
        <v>5</v>
      </c>
      <c r="J66" s="3">
        <v>12</v>
      </c>
      <c r="K66" s="3">
        <v>42</v>
      </c>
      <c r="L66" s="3">
        <v>64.2</v>
      </c>
      <c r="M66" s="14">
        <f t="shared" si="10"/>
        <v>347.98919730644838</v>
      </c>
      <c r="N66" s="14">
        <f t="shared" si="11"/>
        <v>3199.8021769912557</v>
      </c>
      <c r="O66" s="14">
        <f t="shared" si="12"/>
        <v>1083.7126862061589</v>
      </c>
      <c r="P66" s="14">
        <f t="shared" si="13"/>
        <v>145.99371250699321</v>
      </c>
      <c r="Q66" s="14">
        <f t="shared" si="14"/>
        <v>72.209522660837592</v>
      </c>
    </row>
    <row r="67" spans="1:17" x14ac:dyDescent="0.2">
      <c r="A67" s="3">
        <v>26</v>
      </c>
      <c r="B67" s="3">
        <f t="shared" si="9"/>
        <v>25000</v>
      </c>
      <c r="C67" s="3">
        <f>新Rank经验值投放!B27</f>
        <v>39.01785714285711</v>
      </c>
      <c r="D67" s="3">
        <f>新Rank经验值投放!C27</f>
        <v>22.472447552447555</v>
      </c>
      <c r="E67" s="3">
        <f>新Rank经验值投放!D27</f>
        <v>30.45517241379304</v>
      </c>
      <c r="F67" s="3">
        <f>新Rank经验值投放!E27</f>
        <v>48.012500000000003</v>
      </c>
      <c r="G67" s="3">
        <f>新Rank经验值投放!F27</f>
        <v>60.21678021978024</v>
      </c>
      <c r="H67" s="3">
        <v>24</v>
      </c>
      <c r="I67" s="3">
        <v>5</v>
      </c>
      <c r="J67" s="3">
        <v>12</v>
      </c>
      <c r="K67" s="3">
        <v>42</v>
      </c>
      <c r="L67" s="3">
        <v>64.2</v>
      </c>
      <c r="M67" s="14">
        <f t="shared" si="10"/>
        <v>374.68637503337442</v>
      </c>
      <c r="N67" s="14">
        <f t="shared" si="11"/>
        <v>3422.2968557898466</v>
      </c>
      <c r="O67" s="14">
        <f t="shared" si="12"/>
        <v>1152.1192381385263</v>
      </c>
      <c r="P67" s="14">
        <f t="shared" si="13"/>
        <v>158.391277625204</v>
      </c>
      <c r="Q67" s="14">
        <f t="shared" si="14"/>
        <v>78.676293190035679</v>
      </c>
    </row>
    <row r="68" spans="1:17" x14ac:dyDescent="0.2">
      <c r="A68" s="3">
        <v>27</v>
      </c>
      <c r="B68" s="3">
        <f t="shared" si="9"/>
        <v>25000</v>
      </c>
      <c r="C68" s="3">
        <f>新Rank经验值投放!B28</f>
        <v>39.01785714285711</v>
      </c>
      <c r="D68" s="3">
        <f>新Rank经验值投放!C28</f>
        <v>22.472447552447555</v>
      </c>
      <c r="E68" s="3">
        <f>新Rank经验值投放!D28</f>
        <v>30.45517241379304</v>
      </c>
      <c r="F68" s="3">
        <f>新Rank经验值投放!E28</f>
        <v>48.012500000000003</v>
      </c>
      <c r="G68" s="3">
        <f>新Rank经验值投放!F28</f>
        <v>60.21678021978024</v>
      </c>
      <c r="H68" s="3">
        <v>24</v>
      </c>
      <c r="I68" s="3">
        <v>5</v>
      </c>
      <c r="J68" s="3">
        <v>12</v>
      </c>
      <c r="K68" s="3">
        <v>42</v>
      </c>
      <c r="L68" s="3">
        <v>64.2</v>
      </c>
      <c r="M68" s="14">
        <f t="shared" si="10"/>
        <v>401.38355276030046</v>
      </c>
      <c r="N68" s="14">
        <f t="shared" si="11"/>
        <v>3644.7915345884376</v>
      </c>
      <c r="O68" s="14">
        <f t="shared" si="12"/>
        <v>1220.5257900708937</v>
      </c>
      <c r="P68" s="14">
        <f t="shared" si="13"/>
        <v>170.78884274341479</v>
      </c>
      <c r="Q68" s="14">
        <f t="shared" si="14"/>
        <v>85.143063719233766</v>
      </c>
    </row>
    <row r="69" spans="1:17" x14ac:dyDescent="0.2">
      <c r="A69" s="3">
        <v>28</v>
      </c>
      <c r="B69" s="3">
        <f t="shared" si="9"/>
        <v>35000</v>
      </c>
      <c r="C69" s="3">
        <f>新Rank经验值投放!B29</f>
        <v>39.01785714285711</v>
      </c>
      <c r="D69" s="3">
        <f>新Rank经验值投放!C29</f>
        <v>22.472447552447555</v>
      </c>
      <c r="E69" s="3">
        <f>新Rank经验值投放!D29</f>
        <v>30.45517241379304</v>
      </c>
      <c r="F69" s="3">
        <f>新Rank经验值投放!E29</f>
        <v>48.012500000000003</v>
      </c>
      <c r="G69" s="3">
        <f>新Rank经验值投放!F29</f>
        <v>60.21678021978024</v>
      </c>
      <c r="H69" s="3">
        <v>24</v>
      </c>
      <c r="I69" s="3">
        <v>5</v>
      </c>
      <c r="J69" s="3">
        <v>12</v>
      </c>
      <c r="K69" s="3">
        <v>42</v>
      </c>
      <c r="L69" s="3">
        <v>64.2</v>
      </c>
      <c r="M69" s="14">
        <f t="shared" si="10"/>
        <v>438.75960157799693</v>
      </c>
      <c r="N69" s="14">
        <f t="shared" si="11"/>
        <v>3956.2840849064651</v>
      </c>
      <c r="O69" s="14">
        <f t="shared" si="12"/>
        <v>1316.294962776208</v>
      </c>
      <c r="P69" s="14">
        <f t="shared" si="13"/>
        <v>188.14543390890989</v>
      </c>
      <c r="Q69" s="14">
        <f t="shared" si="14"/>
        <v>94.19654246011109</v>
      </c>
    </row>
    <row r="70" spans="1:17" x14ac:dyDescent="0.2">
      <c r="A70" s="3">
        <v>29</v>
      </c>
      <c r="B70" s="3">
        <f t="shared" si="9"/>
        <v>35000</v>
      </c>
      <c r="C70" s="3">
        <f>新Rank经验值投放!B30</f>
        <v>39.01785714285711</v>
      </c>
      <c r="D70" s="3">
        <f>新Rank经验值投放!C30</f>
        <v>22.472447552447555</v>
      </c>
      <c r="E70" s="3">
        <f>新Rank经验值投放!D30</f>
        <v>30.45517241379304</v>
      </c>
      <c r="F70" s="3">
        <f>新Rank经验值投放!E30</f>
        <v>48.012500000000003</v>
      </c>
      <c r="G70" s="3">
        <f>新Rank经验值投放!F30</f>
        <v>60.21678021978024</v>
      </c>
      <c r="H70" s="3">
        <v>24</v>
      </c>
      <c r="I70" s="3">
        <v>5</v>
      </c>
      <c r="J70" s="3">
        <v>12</v>
      </c>
      <c r="K70" s="3">
        <v>42</v>
      </c>
      <c r="L70" s="3">
        <v>64.2</v>
      </c>
      <c r="M70" s="14">
        <f t="shared" si="10"/>
        <v>476.13565039569335</v>
      </c>
      <c r="N70" s="14">
        <f t="shared" si="11"/>
        <v>4267.7766352244926</v>
      </c>
      <c r="O70" s="14">
        <f t="shared" si="12"/>
        <v>1412.0641354815223</v>
      </c>
      <c r="P70" s="14">
        <f t="shared" si="13"/>
        <v>205.502025074405</v>
      </c>
      <c r="Q70" s="14">
        <f t="shared" si="14"/>
        <v>103.25002120098841</v>
      </c>
    </row>
    <row r="71" spans="1:17" x14ac:dyDescent="0.2">
      <c r="A71" s="3">
        <v>30</v>
      </c>
      <c r="B71" s="3">
        <f t="shared" si="9"/>
        <v>35000</v>
      </c>
      <c r="C71" s="3">
        <f>新Rank经验值投放!B31</f>
        <v>39.01785714285711</v>
      </c>
      <c r="D71" s="3">
        <f>新Rank经验值投放!C31</f>
        <v>22.472447552447555</v>
      </c>
      <c r="E71" s="3">
        <f>新Rank经验值投放!D31</f>
        <v>30.45517241379304</v>
      </c>
      <c r="F71" s="3">
        <f>新Rank经验值投放!E31</f>
        <v>48.012500000000003</v>
      </c>
      <c r="G71" s="3">
        <f>新Rank经验值投放!F31</f>
        <v>60.21678021978024</v>
      </c>
      <c r="H71" s="3">
        <v>24</v>
      </c>
      <c r="I71" s="3">
        <v>5</v>
      </c>
      <c r="J71" s="3">
        <v>12</v>
      </c>
      <c r="K71" s="3">
        <v>42</v>
      </c>
      <c r="L71" s="3">
        <v>64.2</v>
      </c>
      <c r="M71" s="14">
        <f t="shared" si="10"/>
        <v>513.51169921338976</v>
      </c>
      <c r="N71" s="14">
        <f t="shared" si="11"/>
        <v>4579.2691855425201</v>
      </c>
      <c r="O71" s="14">
        <f t="shared" si="12"/>
        <v>1507.8333081868366</v>
      </c>
      <c r="P71" s="14">
        <f t="shared" si="13"/>
        <v>222.8586162399001</v>
      </c>
      <c r="Q71" s="14">
        <f t="shared" si="14"/>
        <v>112.30349994186574</v>
      </c>
    </row>
    <row r="72" spans="1:17" x14ac:dyDescent="0.2">
      <c r="A72" s="3">
        <v>31</v>
      </c>
      <c r="B72" s="3">
        <f t="shared" si="9"/>
        <v>45000</v>
      </c>
      <c r="C72" s="3">
        <f>新Rank经验值投放!B32</f>
        <v>39.01785714285711</v>
      </c>
      <c r="D72" s="3">
        <f>新Rank经验值投放!C32</f>
        <v>22.472447552447555</v>
      </c>
      <c r="E72" s="3">
        <f>新Rank经验值投放!D32</f>
        <v>30.45517241379304</v>
      </c>
      <c r="F72" s="3">
        <f>新Rank经验值投放!E32</f>
        <v>48.012500000000003</v>
      </c>
      <c r="G72" s="3">
        <f>新Rank经验值投放!F32</f>
        <v>60.21678021978024</v>
      </c>
      <c r="H72" s="3">
        <v>24</v>
      </c>
      <c r="I72" s="3">
        <v>5</v>
      </c>
      <c r="J72" s="3">
        <v>12</v>
      </c>
      <c r="K72" s="3">
        <v>42</v>
      </c>
      <c r="L72" s="3">
        <v>64.2</v>
      </c>
      <c r="M72" s="14">
        <f t="shared" si="10"/>
        <v>561.56661912185666</v>
      </c>
      <c r="N72" s="14">
        <f t="shared" si="11"/>
        <v>4979.7596073799841</v>
      </c>
      <c r="O72" s="14">
        <f t="shared" si="12"/>
        <v>1630.9651016650978</v>
      </c>
      <c r="P72" s="14">
        <f t="shared" si="13"/>
        <v>245.17423345267952</v>
      </c>
      <c r="Q72" s="14">
        <f t="shared" si="14"/>
        <v>123.9436868944223</v>
      </c>
    </row>
    <row r="73" spans="1:17" x14ac:dyDescent="0.2">
      <c r="A73" s="3">
        <v>32</v>
      </c>
      <c r="B73" s="3">
        <f t="shared" si="9"/>
        <v>50000</v>
      </c>
      <c r="C73" s="3">
        <f>新Rank经验值投放!B33</f>
        <v>39.01785714285711</v>
      </c>
      <c r="D73" s="3">
        <f>新Rank经验值投放!C33</f>
        <v>22.472447552447555</v>
      </c>
      <c r="E73" s="3">
        <f>新Rank经验值投放!D33</f>
        <v>30.45517241379304</v>
      </c>
      <c r="F73" s="3">
        <f>新Rank经验值投放!E33</f>
        <v>48.012500000000003</v>
      </c>
      <c r="G73" s="3">
        <f>新Rank经验值投放!F33</f>
        <v>60.21678021978024</v>
      </c>
      <c r="H73" s="3">
        <v>24</v>
      </c>
      <c r="I73" s="3">
        <v>5</v>
      </c>
      <c r="J73" s="3">
        <v>12</v>
      </c>
      <c r="K73" s="3">
        <v>42</v>
      </c>
      <c r="L73" s="3">
        <v>64.2</v>
      </c>
      <c r="M73" s="14">
        <f t="shared" si="10"/>
        <v>614.96097457570875</v>
      </c>
      <c r="N73" s="14">
        <f t="shared" si="11"/>
        <v>5424.748964977166</v>
      </c>
      <c r="O73" s="14">
        <f t="shared" si="12"/>
        <v>1767.7782055298323</v>
      </c>
      <c r="P73" s="14">
        <f t="shared" si="13"/>
        <v>269.9693636891011</v>
      </c>
      <c r="Q73" s="14">
        <f t="shared" si="14"/>
        <v>136.87722795281849</v>
      </c>
    </row>
    <row r="74" spans="1:17" x14ac:dyDescent="0.2">
      <c r="A74" s="3">
        <v>33</v>
      </c>
      <c r="B74" s="3">
        <f t="shared" si="9"/>
        <v>50000</v>
      </c>
      <c r="C74" s="3">
        <f>新Rank经验值投放!B34</f>
        <v>39.01785714285711</v>
      </c>
      <c r="D74" s="3">
        <f>新Rank经验值投放!C34</f>
        <v>22.472447552447555</v>
      </c>
      <c r="E74" s="3">
        <f>新Rank经验值投放!D34</f>
        <v>30.45517241379304</v>
      </c>
      <c r="F74" s="3">
        <f>新Rank经验值投放!E34</f>
        <v>48.012500000000003</v>
      </c>
      <c r="G74" s="3">
        <f>新Rank经验值投放!F34</f>
        <v>60.21678021978024</v>
      </c>
      <c r="H74" s="3">
        <v>24</v>
      </c>
      <c r="I74" s="3">
        <v>5</v>
      </c>
      <c r="J74" s="3">
        <v>12</v>
      </c>
      <c r="K74" s="3">
        <v>42</v>
      </c>
      <c r="L74" s="3">
        <v>64.2</v>
      </c>
      <c r="M74" s="14">
        <f t="shared" si="10"/>
        <v>668.35533002956083</v>
      </c>
      <c r="N74" s="14">
        <f t="shared" si="11"/>
        <v>5869.7383225743479</v>
      </c>
      <c r="O74" s="14">
        <f t="shared" si="12"/>
        <v>1904.5913093945669</v>
      </c>
      <c r="P74" s="14">
        <f t="shared" si="13"/>
        <v>294.76449392552269</v>
      </c>
      <c r="Q74" s="14">
        <f t="shared" si="14"/>
        <v>149.81076901121466</v>
      </c>
    </row>
    <row r="75" spans="1:17" x14ac:dyDescent="0.2">
      <c r="A75" s="3">
        <v>34</v>
      </c>
      <c r="B75" s="3">
        <f t="shared" si="9"/>
        <v>50000</v>
      </c>
      <c r="C75" s="3">
        <f>新Rank经验值投放!B35</f>
        <v>39.01785714285711</v>
      </c>
      <c r="D75" s="3">
        <f>新Rank经验值投放!C35</f>
        <v>22.472447552447555</v>
      </c>
      <c r="E75" s="3">
        <f>新Rank经验值投放!D35</f>
        <v>30.45517241379304</v>
      </c>
      <c r="F75" s="3">
        <f>新Rank经验值投放!E35</f>
        <v>48.012500000000003</v>
      </c>
      <c r="G75" s="3">
        <f>新Rank经验值投放!F35</f>
        <v>60.21678021978024</v>
      </c>
      <c r="H75" s="3">
        <v>24</v>
      </c>
      <c r="I75" s="3">
        <v>5</v>
      </c>
      <c r="J75" s="3">
        <v>12</v>
      </c>
      <c r="K75" s="3">
        <v>42</v>
      </c>
      <c r="L75" s="3">
        <v>64.2</v>
      </c>
      <c r="M75" s="14">
        <f t="shared" si="10"/>
        <v>721.74968548341292</v>
      </c>
      <c r="N75" s="14">
        <f t="shared" si="11"/>
        <v>6314.7276801715298</v>
      </c>
      <c r="O75" s="14">
        <f t="shared" si="12"/>
        <v>2041.4044132593015</v>
      </c>
      <c r="P75" s="14">
        <f t="shared" si="13"/>
        <v>319.55962416194427</v>
      </c>
      <c r="Q75" s="14">
        <f t="shared" si="14"/>
        <v>162.74431006961083</v>
      </c>
    </row>
    <row r="76" spans="1:17" x14ac:dyDescent="0.2">
      <c r="A76" s="3">
        <v>35</v>
      </c>
      <c r="B76" s="3">
        <f t="shared" si="9"/>
        <v>50000</v>
      </c>
      <c r="C76" s="3">
        <f>新Rank经验值投放!B36</f>
        <v>39.01785714285711</v>
      </c>
      <c r="D76" s="3">
        <f>新Rank经验值投放!C36</f>
        <v>22.472447552447555</v>
      </c>
      <c r="E76" s="3">
        <f>新Rank经验值投放!D36</f>
        <v>30.45517241379304</v>
      </c>
      <c r="F76" s="3">
        <f>新Rank经验值投放!E36</f>
        <v>48.012500000000003</v>
      </c>
      <c r="G76" s="3">
        <f>新Rank经验值投放!F36</f>
        <v>60.21678021978024</v>
      </c>
      <c r="H76" s="3">
        <v>24</v>
      </c>
      <c r="I76" s="3">
        <v>5</v>
      </c>
      <c r="J76" s="3">
        <v>12</v>
      </c>
      <c r="K76" s="3">
        <v>42</v>
      </c>
      <c r="L76" s="3">
        <v>64.2</v>
      </c>
      <c r="M76" s="14">
        <f t="shared" si="10"/>
        <v>775.144040937265</v>
      </c>
      <c r="N76" s="14">
        <f t="shared" si="11"/>
        <v>6759.7170377687116</v>
      </c>
      <c r="O76" s="14">
        <f t="shared" si="12"/>
        <v>2178.217517124036</v>
      </c>
      <c r="P76" s="14">
        <f t="shared" si="13"/>
        <v>344.35475439836586</v>
      </c>
      <c r="Q76" s="14">
        <f t="shared" si="14"/>
        <v>175.67785112800701</v>
      </c>
    </row>
    <row r="77" spans="1:17" x14ac:dyDescent="0.2">
      <c r="A77" s="3">
        <v>36</v>
      </c>
      <c r="B77" s="3">
        <f t="shared" si="9"/>
        <v>50000</v>
      </c>
      <c r="C77" s="3">
        <f>新Rank经验值投放!B37</f>
        <v>39.01785714285711</v>
      </c>
      <c r="D77" s="3">
        <f>新Rank经验值投放!C37</f>
        <v>22.472447552447555</v>
      </c>
      <c r="E77" s="3">
        <f>新Rank经验值投放!D37</f>
        <v>30.45517241379304</v>
      </c>
      <c r="F77" s="3">
        <f>新Rank经验值投放!E37</f>
        <v>48.012500000000003</v>
      </c>
      <c r="G77" s="3">
        <f>新Rank经验值投放!F37</f>
        <v>60.21678021978024</v>
      </c>
      <c r="H77" s="3">
        <v>24</v>
      </c>
      <c r="I77" s="3">
        <v>5</v>
      </c>
      <c r="J77" s="3">
        <v>12</v>
      </c>
      <c r="K77" s="3">
        <v>42</v>
      </c>
      <c r="L77" s="3">
        <v>64.2</v>
      </c>
      <c r="M77" s="14">
        <f t="shared" si="10"/>
        <v>828.53839639111709</v>
      </c>
      <c r="N77" s="14">
        <f t="shared" si="11"/>
        <v>7204.7063953658935</v>
      </c>
      <c r="O77" s="14">
        <f t="shared" si="12"/>
        <v>2315.0306209887708</v>
      </c>
      <c r="P77" s="14">
        <f t="shared" si="13"/>
        <v>369.14988463478744</v>
      </c>
      <c r="Q77" s="14">
        <f t="shared" si="14"/>
        <v>188.61139218640318</v>
      </c>
    </row>
  </sheetData>
  <phoneticPr fontId="1" type="noConversion"/>
  <conditionalFormatting sqref="B42:B7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{5462978A-0FCD-4666-A576-6532900D571D}</x14:id>
        </ext>
      </extLst>
    </cfRule>
  </conditionalFormatting>
  <conditionalFormatting sqref="L3:L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{2E2A536F-8ACC-4F1E-9C3E-FB4698C5DA21}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2978A-0FCD-4666-A576-6532900D5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B42:B77</xm:sqref>
        </x14:conditionalFormatting>
        <x14:conditionalFormatting xmlns:xm="http://schemas.microsoft.com/office/excel/2006/main">
          <x14:cfRule type="dataBar" id="{2E2A536F-8ACC-4F1E-9C3E-FB4698C5D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AB37"/>
  <sheetViews>
    <sheetView zoomScale="120" zoomScaleNormal="120" workbookViewId="0">
      <selection activeCell="H20" sqref="H20"/>
    </sheetView>
  </sheetViews>
  <sheetFormatPr defaultColWidth="8.875" defaultRowHeight="14.25" x14ac:dyDescent="0.2"/>
  <cols>
    <col min="1" max="1" width="6.5" style="26" customWidth="1"/>
    <col min="2" max="2" width="11.125" bestFit="1" customWidth="1"/>
    <col min="3" max="6" width="11.125" customWidth="1"/>
    <col min="7" max="7" width="8" customWidth="1"/>
    <col min="8" max="11" width="11.125" bestFit="1" customWidth="1"/>
    <col min="12" max="14" width="8" customWidth="1"/>
    <col min="16" max="16" width="28.125" customWidth="1"/>
    <col min="17" max="17" width="10" customWidth="1"/>
  </cols>
  <sheetData>
    <row r="1" spans="1:28" x14ac:dyDescent="0.2">
      <c r="A1" s="1" t="s">
        <v>1054</v>
      </c>
      <c r="B1" s="1" t="s">
        <v>1072</v>
      </c>
      <c r="C1" s="1" t="s">
        <v>1073</v>
      </c>
      <c r="D1" s="1" t="s">
        <v>1074</v>
      </c>
      <c r="E1" s="1" t="s">
        <v>1075</v>
      </c>
      <c r="F1" s="1" t="s">
        <v>1076</v>
      </c>
      <c r="G1" s="1" t="s">
        <v>1056</v>
      </c>
      <c r="H1" s="1" t="s">
        <v>1073</v>
      </c>
      <c r="I1" s="1" t="s">
        <v>1074</v>
      </c>
      <c r="J1" s="1" t="s">
        <v>1075</v>
      </c>
      <c r="K1" s="1" t="s">
        <v>1076</v>
      </c>
      <c r="P1" s="19" t="s">
        <v>866</v>
      </c>
      <c r="Q1" s="19" t="s">
        <v>1057</v>
      </c>
      <c r="R1" s="19" t="s">
        <v>1058</v>
      </c>
      <c r="S1" s="19" t="s">
        <v>1059</v>
      </c>
      <c r="V1" t="s">
        <v>1060</v>
      </c>
      <c r="W1" t="s">
        <v>1061</v>
      </c>
      <c r="X1" t="s">
        <v>1062</v>
      </c>
      <c r="Y1" t="s">
        <v>1063</v>
      </c>
      <c r="Z1" t="s">
        <v>1064</v>
      </c>
      <c r="AA1" t="s">
        <v>1065</v>
      </c>
      <c r="AB1" t="s">
        <v>1066</v>
      </c>
    </row>
    <row r="2" spans="1:28" x14ac:dyDescent="0.2">
      <c r="A2" s="26">
        <v>1</v>
      </c>
      <c r="B2" s="53">
        <f>G2*0.23</f>
        <v>3.45</v>
      </c>
      <c r="C2" s="53">
        <f t="shared" ref="C2:F2" si="0">H2*0.23</f>
        <v>0.23</v>
      </c>
      <c r="D2" s="53">
        <f t="shared" si="0"/>
        <v>0.46</v>
      </c>
      <c r="E2" s="53">
        <f t="shared" si="0"/>
        <v>6.9</v>
      </c>
      <c r="F2" s="53">
        <f t="shared" si="0"/>
        <v>15.122500000000008</v>
      </c>
      <c r="G2" s="53">
        <v>15</v>
      </c>
      <c r="H2" s="53">
        <v>1</v>
      </c>
      <c r="I2" s="53">
        <v>2</v>
      </c>
      <c r="J2" s="53">
        <v>30</v>
      </c>
      <c r="K2" s="53">
        <v>65.750000000000028</v>
      </c>
      <c r="P2" t="s">
        <v>844</v>
      </c>
      <c r="Q2">
        <v>30</v>
      </c>
      <c r="R2">
        <v>5</v>
      </c>
      <c r="S2">
        <v>0.13</v>
      </c>
      <c r="T2">
        <f>(R2/Q2)*S2</f>
        <v>2.1666666666666667E-2</v>
      </c>
      <c r="V2">
        <v>229.82932125877295</v>
      </c>
      <c r="W2">
        <v>3.4027217568485399</v>
      </c>
      <c r="X2">
        <v>0.82098256735340724</v>
      </c>
      <c r="Y2">
        <v>0.49361195381480644</v>
      </c>
      <c r="Z2">
        <v>0.29877790355444872</v>
      </c>
      <c r="AA2">
        <v>0.35918360878424271</v>
      </c>
      <c r="AB2">
        <v>1.0305161874575504</v>
      </c>
    </row>
    <row r="3" spans="1:28" x14ac:dyDescent="0.2">
      <c r="A3" s="26">
        <v>2</v>
      </c>
      <c r="B3" s="53">
        <f t="shared" ref="B3:F37" si="1">G3*0.23</f>
        <v>13.8</v>
      </c>
      <c r="C3" s="53">
        <f t="shared" si="1"/>
        <v>4.2933333333333348</v>
      </c>
      <c r="D3" s="53">
        <f t="shared" si="1"/>
        <v>9.0083333333333346</v>
      </c>
      <c r="E3" s="53">
        <f t="shared" si="1"/>
        <v>23</v>
      </c>
      <c r="F3" s="53">
        <f t="shared" si="1"/>
        <v>53.015000000000036</v>
      </c>
      <c r="G3" s="53">
        <v>60</v>
      </c>
      <c r="H3" s="53">
        <v>18.666666666666671</v>
      </c>
      <c r="I3" s="53">
        <v>39.166666666666671</v>
      </c>
      <c r="J3" s="53">
        <v>100</v>
      </c>
      <c r="K3" s="53">
        <v>230.50000000000014</v>
      </c>
      <c r="P3" t="s">
        <v>845</v>
      </c>
      <c r="Q3">
        <v>15</v>
      </c>
      <c r="R3">
        <v>0</v>
      </c>
      <c r="S3">
        <v>0.11</v>
      </c>
      <c r="T3">
        <f t="shared" ref="T3:T18" si="2">(R3/Q3)*S3</f>
        <v>0</v>
      </c>
      <c r="W3">
        <v>20</v>
      </c>
      <c r="X3">
        <v>30</v>
      </c>
      <c r="Y3">
        <v>40</v>
      </c>
      <c r="Z3">
        <v>50</v>
      </c>
      <c r="AA3">
        <v>60</v>
      </c>
      <c r="AB3">
        <v>30</v>
      </c>
    </row>
    <row r="4" spans="1:28" x14ac:dyDescent="0.2">
      <c r="A4" s="26">
        <v>3</v>
      </c>
      <c r="B4" s="53">
        <f t="shared" si="1"/>
        <v>17.48</v>
      </c>
      <c r="C4" s="53">
        <f t="shared" si="1"/>
        <v>4.6000000000000005</v>
      </c>
      <c r="D4" s="53">
        <f t="shared" si="1"/>
        <v>10.656666666666666</v>
      </c>
      <c r="E4" s="53">
        <f t="shared" si="1"/>
        <v>26.532142857142858</v>
      </c>
      <c r="F4" s="53">
        <f t="shared" si="1"/>
        <v>68.808333333333323</v>
      </c>
      <c r="G4" s="53">
        <v>76</v>
      </c>
      <c r="H4" s="53">
        <v>20</v>
      </c>
      <c r="I4" s="53">
        <v>46.333333333333329</v>
      </c>
      <c r="J4" s="53">
        <v>115.35714285714286</v>
      </c>
      <c r="K4" s="53">
        <v>299.16666666666663</v>
      </c>
      <c r="P4" t="s">
        <v>846</v>
      </c>
      <c r="Q4">
        <v>10</v>
      </c>
      <c r="R4">
        <v>0</v>
      </c>
      <c r="S4">
        <v>0</v>
      </c>
      <c r="T4">
        <f t="shared" si="2"/>
        <v>0</v>
      </c>
      <c r="W4">
        <f>W2*W3</f>
        <v>68.054435136970795</v>
      </c>
      <c r="X4">
        <f t="shared" ref="X4:AB4" si="3">X2*X3</f>
        <v>24.629477020602216</v>
      </c>
      <c r="Y4">
        <f t="shared" si="3"/>
        <v>19.744478152592258</v>
      </c>
      <c r="Z4">
        <f t="shared" si="3"/>
        <v>14.938895177722436</v>
      </c>
      <c r="AA4">
        <f t="shared" si="3"/>
        <v>21.551016527054564</v>
      </c>
      <c r="AB4">
        <f t="shared" si="3"/>
        <v>30.915485623726511</v>
      </c>
    </row>
    <row r="5" spans="1:28" x14ac:dyDescent="0.2">
      <c r="A5" s="26">
        <v>4</v>
      </c>
      <c r="B5" s="53">
        <f t="shared" si="1"/>
        <v>19.25</v>
      </c>
      <c r="C5" s="53">
        <f t="shared" si="1"/>
        <v>6.9</v>
      </c>
      <c r="D5" s="53">
        <f t="shared" si="1"/>
        <v>11.5</v>
      </c>
      <c r="E5" s="53">
        <f t="shared" si="1"/>
        <v>28.43375</v>
      </c>
      <c r="F5" s="53">
        <f t="shared" si="1"/>
        <v>48.855172413793142</v>
      </c>
      <c r="G5" s="53">
        <v>83.695652173913047</v>
      </c>
      <c r="H5" s="53">
        <v>30</v>
      </c>
      <c r="I5" s="53">
        <v>50</v>
      </c>
      <c r="J5" s="53">
        <v>123.625</v>
      </c>
      <c r="K5" s="53">
        <v>212.41379310344843</v>
      </c>
      <c r="P5" t="s">
        <v>847</v>
      </c>
      <c r="Q5">
        <v>10</v>
      </c>
      <c r="R5">
        <v>0</v>
      </c>
      <c r="S5">
        <v>0</v>
      </c>
      <c r="T5">
        <f t="shared" si="2"/>
        <v>0</v>
      </c>
      <c r="W5" s="22">
        <f>W4/$V$2</f>
        <v>0.29610858511976329</v>
      </c>
      <c r="X5" s="22">
        <f t="shared" ref="X5:AB5" si="4">X4/$V$2</f>
        <v>0.10716420727219143</v>
      </c>
      <c r="Y5" s="22">
        <f t="shared" si="4"/>
        <v>8.5909308892581429E-2</v>
      </c>
      <c r="Z5" s="22">
        <f t="shared" si="4"/>
        <v>6.4999953425882537E-2</v>
      </c>
      <c r="AA5" s="22">
        <f t="shared" si="4"/>
        <v>9.3769656582632088E-2</v>
      </c>
      <c r="AB5" s="22">
        <f t="shared" si="4"/>
        <v>0.13451497595869272</v>
      </c>
    </row>
    <row r="6" spans="1:28" x14ac:dyDescent="0.2">
      <c r="A6" s="26">
        <v>5</v>
      </c>
      <c r="B6" s="53">
        <f t="shared" si="1"/>
        <v>16.915454545454548</v>
      </c>
      <c r="C6" s="53">
        <f t="shared" si="1"/>
        <v>7.4750000000000005</v>
      </c>
      <c r="D6" s="53">
        <f t="shared" si="1"/>
        <v>12.266666666666667</v>
      </c>
      <c r="E6" s="53">
        <f t="shared" si="1"/>
        <v>25.673750000000002</v>
      </c>
      <c r="F6" s="53">
        <f t="shared" si="1"/>
        <v>42.847413793103421</v>
      </c>
      <c r="G6" s="53">
        <v>73.545454545454547</v>
      </c>
      <c r="H6" s="53">
        <v>32.5</v>
      </c>
      <c r="I6" s="53">
        <v>53.333333333333336</v>
      </c>
      <c r="J6" s="53">
        <v>111.625</v>
      </c>
      <c r="K6" s="53">
        <v>186.29310344827573</v>
      </c>
      <c r="P6" t="s">
        <v>848</v>
      </c>
      <c r="Q6">
        <v>5</v>
      </c>
      <c r="R6">
        <v>0</v>
      </c>
      <c r="S6">
        <v>0</v>
      </c>
      <c r="T6">
        <f t="shared" si="2"/>
        <v>0</v>
      </c>
    </row>
    <row r="7" spans="1:28" x14ac:dyDescent="0.2">
      <c r="A7" s="26">
        <v>6</v>
      </c>
      <c r="B7" s="53">
        <f t="shared" si="1"/>
        <v>17.25</v>
      </c>
      <c r="C7" s="53">
        <f t="shared" si="1"/>
        <v>3.3120000000000012</v>
      </c>
      <c r="D7" s="53">
        <f t="shared" si="1"/>
        <v>12.65</v>
      </c>
      <c r="E7" s="53">
        <f t="shared" si="1"/>
        <v>22.178571428571431</v>
      </c>
      <c r="F7" s="53">
        <f t="shared" si="1"/>
        <v>30.850666666666665</v>
      </c>
      <c r="G7" s="53">
        <v>75</v>
      </c>
      <c r="H7" s="53">
        <v>14.400000000000004</v>
      </c>
      <c r="I7" s="53">
        <v>55</v>
      </c>
      <c r="J7" s="53">
        <v>96.428571428571431</v>
      </c>
      <c r="K7" s="53">
        <v>134.13333333333333</v>
      </c>
      <c r="P7" t="s">
        <v>849</v>
      </c>
      <c r="Q7">
        <v>20</v>
      </c>
      <c r="R7">
        <v>0</v>
      </c>
      <c r="S7">
        <v>0</v>
      </c>
      <c r="T7">
        <f t="shared" si="2"/>
        <v>0</v>
      </c>
    </row>
    <row r="8" spans="1:28" x14ac:dyDescent="0.2">
      <c r="A8" s="26">
        <v>7</v>
      </c>
      <c r="B8" s="53">
        <f t="shared" si="1"/>
        <v>14.950000000000001</v>
      </c>
      <c r="C8" s="53">
        <f t="shared" si="1"/>
        <v>8.0500000000000007</v>
      </c>
      <c r="D8" s="53">
        <f t="shared" si="1"/>
        <v>9.89</v>
      </c>
      <c r="E8" s="53">
        <f t="shared" si="1"/>
        <v>26.130555555555556</v>
      </c>
      <c r="F8" s="53">
        <f t="shared" si="1"/>
        <v>36.340000000000003</v>
      </c>
      <c r="G8" s="53">
        <v>65</v>
      </c>
      <c r="H8" s="53">
        <v>35</v>
      </c>
      <c r="I8" s="53">
        <v>43</v>
      </c>
      <c r="J8" s="53">
        <v>113.61111111111111</v>
      </c>
      <c r="K8" s="53">
        <v>158</v>
      </c>
      <c r="P8" t="s">
        <v>850</v>
      </c>
      <c r="Q8">
        <v>15</v>
      </c>
      <c r="R8">
        <v>0</v>
      </c>
      <c r="S8">
        <v>0</v>
      </c>
      <c r="T8">
        <f t="shared" si="2"/>
        <v>0</v>
      </c>
    </row>
    <row r="9" spans="1:28" x14ac:dyDescent="0.2">
      <c r="A9" s="26">
        <v>8</v>
      </c>
      <c r="B9" s="53">
        <f t="shared" si="1"/>
        <v>20.125</v>
      </c>
      <c r="C9" s="53">
        <f t="shared" si="1"/>
        <v>10.35</v>
      </c>
      <c r="D9" s="53">
        <f t="shared" si="1"/>
        <v>14.26</v>
      </c>
      <c r="E9" s="53">
        <f t="shared" si="1"/>
        <v>31.133636363636366</v>
      </c>
      <c r="F9" s="53">
        <f t="shared" si="1"/>
        <v>45.242916666666687</v>
      </c>
      <c r="G9" s="53">
        <v>87.5</v>
      </c>
      <c r="H9" s="53">
        <v>45</v>
      </c>
      <c r="I9" s="53">
        <v>62</v>
      </c>
      <c r="J9" s="53">
        <v>135.36363636363637</v>
      </c>
      <c r="K9" s="53">
        <v>196.70833333333343</v>
      </c>
      <c r="P9" t="s">
        <v>851</v>
      </c>
      <c r="Q9">
        <v>25</v>
      </c>
      <c r="R9">
        <v>0</v>
      </c>
      <c r="S9">
        <v>0</v>
      </c>
      <c r="T9">
        <f t="shared" si="2"/>
        <v>0</v>
      </c>
    </row>
    <row r="10" spans="1:28" x14ac:dyDescent="0.2">
      <c r="A10" s="26">
        <v>9</v>
      </c>
      <c r="B10" s="53">
        <f t="shared" si="1"/>
        <v>26.450000000000003</v>
      </c>
      <c r="C10" s="53">
        <f t="shared" si="1"/>
        <v>14.112142857142858</v>
      </c>
      <c r="D10" s="53">
        <f t="shared" si="1"/>
        <v>19.102777777777774</v>
      </c>
      <c r="E10" s="53">
        <f t="shared" si="1"/>
        <v>37.539285714285718</v>
      </c>
      <c r="F10" s="53">
        <f t="shared" si="1"/>
        <v>48.870399999999997</v>
      </c>
      <c r="G10" s="53">
        <v>115</v>
      </c>
      <c r="H10" s="53">
        <v>61.357142857142861</v>
      </c>
      <c r="I10" s="53">
        <v>83.055555555555543</v>
      </c>
      <c r="J10" s="53">
        <v>163.21428571428572</v>
      </c>
      <c r="K10" s="53">
        <v>212.48</v>
      </c>
      <c r="P10" t="s">
        <v>852</v>
      </c>
      <c r="Q10">
        <v>10</v>
      </c>
      <c r="R10">
        <v>5</v>
      </c>
      <c r="S10">
        <v>0</v>
      </c>
      <c r="T10">
        <f t="shared" si="2"/>
        <v>0</v>
      </c>
    </row>
    <row r="11" spans="1:28" x14ac:dyDescent="0.2">
      <c r="A11" s="26">
        <v>10</v>
      </c>
      <c r="B11" s="53">
        <f t="shared" si="1"/>
        <v>39.017857142857146</v>
      </c>
      <c r="C11" s="53">
        <f t="shared" si="1"/>
        <v>22.472447552447555</v>
      </c>
      <c r="D11" s="53">
        <f t="shared" si="1"/>
        <v>30.455172413793107</v>
      </c>
      <c r="E11" s="53">
        <f t="shared" si="1"/>
        <v>48.012500000000003</v>
      </c>
      <c r="F11" s="53">
        <f t="shared" si="1"/>
        <v>60.216780219780226</v>
      </c>
      <c r="G11" s="53">
        <v>169.64285714285714</v>
      </c>
      <c r="H11" s="53">
        <v>97.706293706293707</v>
      </c>
      <c r="I11" s="53">
        <v>132.41379310344828</v>
      </c>
      <c r="J11" s="53">
        <v>208.75</v>
      </c>
      <c r="K11" s="53">
        <v>261.81208791208792</v>
      </c>
      <c r="P11" t="s">
        <v>853</v>
      </c>
      <c r="Q11">
        <v>10</v>
      </c>
      <c r="R11">
        <v>0</v>
      </c>
      <c r="S11">
        <v>0</v>
      </c>
      <c r="T11">
        <f t="shared" si="2"/>
        <v>0</v>
      </c>
    </row>
    <row r="12" spans="1:28" x14ac:dyDescent="0.2">
      <c r="A12" s="26">
        <v>11</v>
      </c>
      <c r="B12" s="53">
        <f t="shared" si="1"/>
        <v>39.017857142857146</v>
      </c>
      <c r="C12" s="53">
        <f t="shared" si="1"/>
        <v>22.472447552447555</v>
      </c>
      <c r="D12" s="53">
        <f t="shared" si="1"/>
        <v>30.455172413793107</v>
      </c>
      <c r="E12" s="53">
        <f t="shared" si="1"/>
        <v>48.012500000000003</v>
      </c>
      <c r="F12" s="53">
        <f t="shared" si="1"/>
        <v>60.216780219780226</v>
      </c>
      <c r="G12" s="53">
        <v>169.64285714285714</v>
      </c>
      <c r="H12" s="53">
        <v>97.706293706293707</v>
      </c>
      <c r="I12" s="53">
        <v>132.41379310344828</v>
      </c>
      <c r="J12" s="53">
        <v>208.75</v>
      </c>
      <c r="K12" s="53">
        <v>261.81208791208792</v>
      </c>
      <c r="P12" t="s">
        <v>854</v>
      </c>
      <c r="Q12">
        <v>15</v>
      </c>
      <c r="R12">
        <v>5</v>
      </c>
      <c r="S12">
        <v>0</v>
      </c>
      <c r="T12">
        <f t="shared" si="2"/>
        <v>0</v>
      </c>
    </row>
    <row r="13" spans="1:28" x14ac:dyDescent="0.2">
      <c r="A13" s="26">
        <v>12</v>
      </c>
      <c r="B13" s="53">
        <f t="shared" si="1"/>
        <v>39.01785714285711</v>
      </c>
      <c r="C13" s="53">
        <f t="shared" si="1"/>
        <v>22.472447552447555</v>
      </c>
      <c r="D13" s="53">
        <f t="shared" si="1"/>
        <v>30.45517241379304</v>
      </c>
      <c r="E13" s="53">
        <f t="shared" si="1"/>
        <v>48.012500000000003</v>
      </c>
      <c r="F13" s="53">
        <f t="shared" si="1"/>
        <v>60.21678021978024</v>
      </c>
      <c r="G13" s="53">
        <v>169.642857142857</v>
      </c>
      <c r="H13" s="53">
        <v>97.706293706293707</v>
      </c>
      <c r="I13" s="53">
        <v>132.413793103448</v>
      </c>
      <c r="J13" s="53">
        <v>208.75</v>
      </c>
      <c r="K13" s="53">
        <v>261.81208791208797</v>
      </c>
      <c r="P13" t="s">
        <v>856</v>
      </c>
      <c r="Q13">
        <v>20</v>
      </c>
      <c r="R13">
        <v>5</v>
      </c>
      <c r="S13">
        <v>0.3</v>
      </c>
      <c r="T13">
        <f t="shared" si="2"/>
        <v>7.4999999999999997E-2</v>
      </c>
    </row>
    <row r="14" spans="1:28" x14ac:dyDescent="0.2">
      <c r="A14" s="26">
        <v>13</v>
      </c>
      <c r="B14" s="53">
        <f t="shared" si="1"/>
        <v>39.01785714285711</v>
      </c>
      <c r="C14" s="53">
        <f t="shared" si="1"/>
        <v>22.472447552447555</v>
      </c>
      <c r="D14" s="53">
        <f t="shared" si="1"/>
        <v>30.45517241379304</v>
      </c>
      <c r="E14" s="53">
        <f t="shared" si="1"/>
        <v>48.012500000000003</v>
      </c>
      <c r="F14" s="53">
        <f t="shared" si="1"/>
        <v>60.21678021978024</v>
      </c>
      <c r="G14" s="53">
        <v>169.642857142857</v>
      </c>
      <c r="H14" s="53">
        <v>97.706293706293707</v>
      </c>
      <c r="I14" s="53">
        <v>132.413793103448</v>
      </c>
      <c r="J14" s="53">
        <v>208.75</v>
      </c>
      <c r="K14" s="53">
        <v>261.81208791208797</v>
      </c>
      <c r="P14" t="s">
        <v>857</v>
      </c>
      <c r="Q14">
        <v>30</v>
      </c>
      <c r="R14">
        <v>10</v>
      </c>
      <c r="S14">
        <v>0.11</v>
      </c>
      <c r="T14">
        <f t="shared" si="2"/>
        <v>3.6666666666666667E-2</v>
      </c>
    </row>
    <row r="15" spans="1:28" x14ac:dyDescent="0.2">
      <c r="A15" s="26">
        <v>14</v>
      </c>
      <c r="B15" s="53">
        <f t="shared" si="1"/>
        <v>39.01785714285711</v>
      </c>
      <c r="C15" s="53">
        <f t="shared" si="1"/>
        <v>22.472447552447555</v>
      </c>
      <c r="D15" s="53">
        <f t="shared" si="1"/>
        <v>30.45517241379304</v>
      </c>
      <c r="E15" s="53">
        <f t="shared" si="1"/>
        <v>48.012500000000003</v>
      </c>
      <c r="F15" s="53">
        <f t="shared" si="1"/>
        <v>60.21678021978024</v>
      </c>
      <c r="G15" s="53">
        <v>169.642857142857</v>
      </c>
      <c r="H15" s="53">
        <v>97.706293706293707</v>
      </c>
      <c r="I15" s="53">
        <v>132.413793103448</v>
      </c>
      <c r="J15" s="53">
        <v>208.75</v>
      </c>
      <c r="K15" s="53">
        <v>261.81208791208797</v>
      </c>
      <c r="P15" t="s">
        <v>858</v>
      </c>
      <c r="Q15">
        <v>40</v>
      </c>
      <c r="R15">
        <v>15</v>
      </c>
      <c r="S15">
        <v>0.09</v>
      </c>
      <c r="T15">
        <f t="shared" si="2"/>
        <v>3.3750000000000002E-2</v>
      </c>
    </row>
    <row r="16" spans="1:28" x14ac:dyDescent="0.2">
      <c r="A16" s="26">
        <v>15</v>
      </c>
      <c r="B16" s="53">
        <f t="shared" si="1"/>
        <v>39.01785714285711</v>
      </c>
      <c r="C16" s="53">
        <f t="shared" si="1"/>
        <v>22.472447552447555</v>
      </c>
      <c r="D16" s="53">
        <f t="shared" si="1"/>
        <v>30.45517241379304</v>
      </c>
      <c r="E16" s="53">
        <f t="shared" si="1"/>
        <v>48.012500000000003</v>
      </c>
      <c r="F16" s="53">
        <f t="shared" si="1"/>
        <v>60.21678021978024</v>
      </c>
      <c r="G16" s="53">
        <v>169.642857142857</v>
      </c>
      <c r="H16" s="53">
        <v>97.706293706293707</v>
      </c>
      <c r="I16" s="53">
        <v>132.413793103448</v>
      </c>
      <c r="J16" s="53">
        <v>208.75</v>
      </c>
      <c r="K16" s="53">
        <v>261.81208791208797</v>
      </c>
      <c r="P16" t="s">
        <v>859</v>
      </c>
      <c r="Q16">
        <v>50</v>
      </c>
      <c r="R16">
        <v>20</v>
      </c>
      <c r="S16">
        <v>0.06</v>
      </c>
      <c r="T16">
        <f t="shared" si="2"/>
        <v>2.4E-2</v>
      </c>
    </row>
    <row r="17" spans="1:20" x14ac:dyDescent="0.2">
      <c r="A17" s="26">
        <v>16</v>
      </c>
      <c r="B17" s="53">
        <f t="shared" si="1"/>
        <v>39.01785714285711</v>
      </c>
      <c r="C17" s="53">
        <f t="shared" si="1"/>
        <v>22.472447552447555</v>
      </c>
      <c r="D17" s="53">
        <f t="shared" si="1"/>
        <v>30.45517241379304</v>
      </c>
      <c r="E17" s="53">
        <f t="shared" si="1"/>
        <v>48.012500000000003</v>
      </c>
      <c r="F17" s="53">
        <f t="shared" si="1"/>
        <v>60.21678021978024</v>
      </c>
      <c r="G17" s="54">
        <v>169.642857142857</v>
      </c>
      <c r="H17" s="53">
        <v>97.706293706293707</v>
      </c>
      <c r="I17" s="53">
        <v>132.413793103448</v>
      </c>
      <c r="J17" s="53">
        <v>208.75</v>
      </c>
      <c r="K17" s="53">
        <v>261.81208791208797</v>
      </c>
      <c r="L17" s="31"/>
      <c r="M17" s="31"/>
      <c r="N17" s="31"/>
      <c r="O17" s="31"/>
      <c r="P17" t="s">
        <v>860</v>
      </c>
      <c r="Q17">
        <v>60</v>
      </c>
      <c r="R17">
        <v>25</v>
      </c>
      <c r="S17">
        <v>0.09</v>
      </c>
      <c r="T17">
        <f t="shared" si="2"/>
        <v>3.7499999999999999E-2</v>
      </c>
    </row>
    <row r="18" spans="1:20" x14ac:dyDescent="0.2">
      <c r="A18" s="26">
        <v>17</v>
      </c>
      <c r="B18" s="53">
        <f t="shared" si="1"/>
        <v>39.01785714285711</v>
      </c>
      <c r="C18" s="53">
        <f t="shared" si="1"/>
        <v>22.472447552447555</v>
      </c>
      <c r="D18" s="53">
        <f t="shared" si="1"/>
        <v>30.45517241379304</v>
      </c>
      <c r="E18" s="53">
        <f t="shared" si="1"/>
        <v>48.012500000000003</v>
      </c>
      <c r="F18" s="53">
        <f t="shared" si="1"/>
        <v>60.21678021978024</v>
      </c>
      <c r="G18" s="54">
        <v>169.642857142857</v>
      </c>
      <c r="H18" s="53">
        <v>97.706293706293707</v>
      </c>
      <c r="I18" s="53">
        <v>132.413793103448</v>
      </c>
      <c r="J18" s="53">
        <v>208.75</v>
      </c>
      <c r="K18" s="53">
        <v>261.81208791208797</v>
      </c>
      <c r="L18" s="31"/>
      <c r="M18" s="31"/>
      <c r="N18" s="31"/>
      <c r="O18" s="31"/>
      <c r="P18" t="s">
        <v>861</v>
      </c>
      <c r="Q18">
        <v>10</v>
      </c>
      <c r="R18">
        <v>0</v>
      </c>
      <c r="S18">
        <v>0.11</v>
      </c>
      <c r="T18">
        <f t="shared" si="2"/>
        <v>0</v>
      </c>
    </row>
    <row r="19" spans="1:20" x14ac:dyDescent="0.2">
      <c r="A19" s="26">
        <v>18</v>
      </c>
      <c r="B19" s="53">
        <f t="shared" si="1"/>
        <v>39.01785714285711</v>
      </c>
      <c r="C19" s="53">
        <f t="shared" si="1"/>
        <v>22.472447552447555</v>
      </c>
      <c r="D19" s="53">
        <f t="shared" si="1"/>
        <v>30.45517241379304</v>
      </c>
      <c r="E19" s="53">
        <f t="shared" si="1"/>
        <v>48.012500000000003</v>
      </c>
      <c r="F19" s="53">
        <f t="shared" si="1"/>
        <v>60.21678021978024</v>
      </c>
      <c r="G19" s="53">
        <v>169.642857142857</v>
      </c>
      <c r="H19" s="53">
        <v>97.706293706293707</v>
      </c>
      <c r="I19" s="53">
        <v>132.413793103448</v>
      </c>
      <c r="J19" s="53">
        <v>208.75</v>
      </c>
      <c r="K19" s="53">
        <v>261.81208791208797</v>
      </c>
      <c r="T19">
        <f>SUM(T2:T18)</f>
        <v>0.22858333333333333</v>
      </c>
    </row>
    <row r="20" spans="1:20" x14ac:dyDescent="0.2">
      <c r="A20" s="26">
        <v>19</v>
      </c>
      <c r="B20" s="53">
        <f t="shared" si="1"/>
        <v>39.01785714285711</v>
      </c>
      <c r="C20" s="53">
        <f t="shared" si="1"/>
        <v>22.472447552447555</v>
      </c>
      <c r="D20" s="53">
        <f t="shared" si="1"/>
        <v>30.45517241379304</v>
      </c>
      <c r="E20" s="53">
        <f t="shared" si="1"/>
        <v>48.012500000000003</v>
      </c>
      <c r="F20" s="53">
        <f t="shared" si="1"/>
        <v>60.21678021978024</v>
      </c>
      <c r="G20" s="53">
        <v>169.642857142857</v>
      </c>
      <c r="H20" s="53">
        <v>97.706293706293707</v>
      </c>
      <c r="I20" s="53">
        <v>132.413793103448</v>
      </c>
      <c r="J20" s="53">
        <v>208.75</v>
      </c>
      <c r="K20" s="53">
        <v>261.81208791208797</v>
      </c>
    </row>
    <row r="21" spans="1:20" x14ac:dyDescent="0.2">
      <c r="A21" s="26">
        <v>20</v>
      </c>
      <c r="B21" s="53">
        <f t="shared" si="1"/>
        <v>39.01785714285711</v>
      </c>
      <c r="C21" s="53">
        <f t="shared" si="1"/>
        <v>22.472447552447555</v>
      </c>
      <c r="D21" s="53">
        <f t="shared" si="1"/>
        <v>30.45517241379304</v>
      </c>
      <c r="E21" s="53">
        <f t="shared" si="1"/>
        <v>48.012500000000003</v>
      </c>
      <c r="F21" s="53">
        <f t="shared" si="1"/>
        <v>60.21678021978024</v>
      </c>
      <c r="G21" s="53">
        <v>169.642857142857</v>
      </c>
      <c r="H21" s="53">
        <v>97.706293706293707</v>
      </c>
      <c r="I21" s="53">
        <v>132.413793103448</v>
      </c>
      <c r="J21" s="53">
        <v>208.75</v>
      </c>
      <c r="K21" s="53">
        <v>261.81208791208797</v>
      </c>
    </row>
    <row r="22" spans="1:20" x14ac:dyDescent="0.2">
      <c r="A22" s="26">
        <v>21</v>
      </c>
      <c r="B22" s="53">
        <f t="shared" si="1"/>
        <v>39.01785714285711</v>
      </c>
      <c r="C22" s="53">
        <f t="shared" si="1"/>
        <v>22.472447552447555</v>
      </c>
      <c r="D22" s="53">
        <f t="shared" si="1"/>
        <v>30.45517241379304</v>
      </c>
      <c r="E22" s="53">
        <f t="shared" si="1"/>
        <v>48.012500000000003</v>
      </c>
      <c r="F22" s="53">
        <f t="shared" si="1"/>
        <v>60.21678021978024</v>
      </c>
      <c r="G22" s="53">
        <v>169.642857142857</v>
      </c>
      <c r="H22" s="53">
        <v>97.706293706293707</v>
      </c>
      <c r="I22" s="53">
        <v>132.413793103448</v>
      </c>
      <c r="J22" s="53">
        <v>208.75</v>
      </c>
      <c r="K22" s="53">
        <v>261.81208791208797</v>
      </c>
    </row>
    <row r="23" spans="1:20" x14ac:dyDescent="0.2">
      <c r="A23" s="26">
        <v>22</v>
      </c>
      <c r="B23" s="53">
        <f t="shared" si="1"/>
        <v>39.01785714285711</v>
      </c>
      <c r="C23" s="53">
        <f t="shared" si="1"/>
        <v>22.472447552447555</v>
      </c>
      <c r="D23" s="53">
        <f t="shared" si="1"/>
        <v>30.45517241379304</v>
      </c>
      <c r="E23" s="53">
        <f t="shared" si="1"/>
        <v>48.012500000000003</v>
      </c>
      <c r="F23" s="53">
        <f t="shared" si="1"/>
        <v>60.21678021978024</v>
      </c>
      <c r="G23" s="53">
        <v>169.642857142857</v>
      </c>
      <c r="H23" s="53">
        <v>97.706293706293707</v>
      </c>
      <c r="I23" s="53">
        <v>132.413793103448</v>
      </c>
      <c r="J23" s="53">
        <v>208.75</v>
      </c>
      <c r="K23" s="53">
        <v>261.81208791208797</v>
      </c>
    </row>
    <row r="24" spans="1:20" x14ac:dyDescent="0.2">
      <c r="A24" s="26">
        <v>23</v>
      </c>
      <c r="B24" s="53">
        <f t="shared" si="1"/>
        <v>39.01785714285711</v>
      </c>
      <c r="C24" s="53">
        <f t="shared" si="1"/>
        <v>22.472447552447555</v>
      </c>
      <c r="D24" s="53">
        <f t="shared" si="1"/>
        <v>30.45517241379304</v>
      </c>
      <c r="E24" s="53">
        <f t="shared" si="1"/>
        <v>48.012500000000003</v>
      </c>
      <c r="F24" s="53">
        <f t="shared" si="1"/>
        <v>60.21678021978024</v>
      </c>
      <c r="G24" s="53">
        <v>169.642857142857</v>
      </c>
      <c r="H24" s="53">
        <v>97.706293706293707</v>
      </c>
      <c r="I24" s="53">
        <v>132.413793103448</v>
      </c>
      <c r="J24" s="53">
        <v>208.75</v>
      </c>
      <c r="K24" s="53">
        <v>261.81208791208797</v>
      </c>
    </row>
    <row r="25" spans="1:20" x14ac:dyDescent="0.2">
      <c r="A25" s="26">
        <v>24</v>
      </c>
      <c r="B25" s="53">
        <f t="shared" si="1"/>
        <v>39.01785714285711</v>
      </c>
      <c r="C25" s="53">
        <f t="shared" si="1"/>
        <v>22.472447552447555</v>
      </c>
      <c r="D25" s="53">
        <f t="shared" si="1"/>
        <v>30.45517241379304</v>
      </c>
      <c r="E25" s="53">
        <f t="shared" si="1"/>
        <v>48.012500000000003</v>
      </c>
      <c r="F25" s="53">
        <f t="shared" si="1"/>
        <v>60.21678021978024</v>
      </c>
      <c r="G25" s="53">
        <v>169.642857142857</v>
      </c>
      <c r="H25" s="53">
        <v>97.706293706293707</v>
      </c>
      <c r="I25" s="53">
        <v>132.413793103448</v>
      </c>
      <c r="J25" s="53">
        <v>208.75</v>
      </c>
      <c r="K25" s="53">
        <v>261.81208791208797</v>
      </c>
    </row>
    <row r="26" spans="1:20" x14ac:dyDescent="0.2">
      <c r="A26" s="26">
        <v>25</v>
      </c>
      <c r="B26" s="53">
        <f t="shared" si="1"/>
        <v>39.01785714285711</v>
      </c>
      <c r="C26" s="53">
        <f t="shared" si="1"/>
        <v>22.472447552447555</v>
      </c>
      <c r="D26" s="53">
        <f t="shared" si="1"/>
        <v>30.45517241379304</v>
      </c>
      <c r="E26" s="53">
        <f t="shared" si="1"/>
        <v>48.012500000000003</v>
      </c>
      <c r="F26" s="53">
        <f t="shared" si="1"/>
        <v>60.21678021978024</v>
      </c>
      <c r="G26" s="53">
        <v>169.642857142857</v>
      </c>
      <c r="H26" s="53">
        <v>97.706293706293707</v>
      </c>
      <c r="I26" s="53">
        <v>132.413793103448</v>
      </c>
      <c r="J26" s="53">
        <v>208.75</v>
      </c>
      <c r="K26" s="53">
        <v>261.81208791208797</v>
      </c>
    </row>
    <row r="27" spans="1:20" x14ac:dyDescent="0.2">
      <c r="A27" s="26">
        <v>26</v>
      </c>
      <c r="B27" s="53">
        <f t="shared" si="1"/>
        <v>39.01785714285711</v>
      </c>
      <c r="C27" s="53">
        <f t="shared" si="1"/>
        <v>22.472447552447555</v>
      </c>
      <c r="D27" s="53">
        <f t="shared" si="1"/>
        <v>30.45517241379304</v>
      </c>
      <c r="E27" s="53">
        <f t="shared" si="1"/>
        <v>48.012500000000003</v>
      </c>
      <c r="F27" s="53">
        <f t="shared" si="1"/>
        <v>60.21678021978024</v>
      </c>
      <c r="G27" s="53">
        <v>169.642857142857</v>
      </c>
      <c r="H27" s="53">
        <v>97.706293706293707</v>
      </c>
      <c r="I27" s="53">
        <v>132.413793103448</v>
      </c>
      <c r="J27" s="53">
        <v>208.75</v>
      </c>
      <c r="K27" s="53">
        <v>261.81208791208797</v>
      </c>
    </row>
    <row r="28" spans="1:20" x14ac:dyDescent="0.2">
      <c r="A28" s="26">
        <v>27</v>
      </c>
      <c r="B28" s="53">
        <f t="shared" si="1"/>
        <v>39.01785714285711</v>
      </c>
      <c r="C28" s="53">
        <f t="shared" si="1"/>
        <v>22.472447552447555</v>
      </c>
      <c r="D28" s="53">
        <f t="shared" si="1"/>
        <v>30.45517241379304</v>
      </c>
      <c r="E28" s="53">
        <f t="shared" si="1"/>
        <v>48.012500000000003</v>
      </c>
      <c r="F28" s="53">
        <f t="shared" si="1"/>
        <v>60.21678021978024</v>
      </c>
      <c r="G28" s="53">
        <v>169.642857142857</v>
      </c>
      <c r="H28" s="53">
        <v>97.706293706293707</v>
      </c>
      <c r="I28" s="53">
        <v>132.413793103448</v>
      </c>
      <c r="J28" s="53">
        <v>208.75</v>
      </c>
      <c r="K28" s="53">
        <v>261.81208791208797</v>
      </c>
    </row>
    <row r="29" spans="1:20" x14ac:dyDescent="0.2">
      <c r="A29" s="26">
        <v>28</v>
      </c>
      <c r="B29" s="53">
        <f t="shared" si="1"/>
        <v>39.01785714285711</v>
      </c>
      <c r="C29" s="53">
        <f t="shared" si="1"/>
        <v>22.472447552447555</v>
      </c>
      <c r="D29" s="53">
        <f t="shared" si="1"/>
        <v>30.45517241379304</v>
      </c>
      <c r="E29" s="53">
        <f t="shared" si="1"/>
        <v>48.012500000000003</v>
      </c>
      <c r="F29" s="53">
        <f t="shared" si="1"/>
        <v>60.21678021978024</v>
      </c>
      <c r="G29" s="53">
        <v>169.642857142857</v>
      </c>
      <c r="H29" s="53">
        <v>97.706293706293707</v>
      </c>
      <c r="I29" s="53">
        <v>132.413793103448</v>
      </c>
      <c r="J29" s="53">
        <v>208.75</v>
      </c>
      <c r="K29" s="53">
        <v>261.81208791208797</v>
      </c>
    </row>
    <row r="30" spans="1:20" x14ac:dyDescent="0.2">
      <c r="A30" s="26">
        <v>29</v>
      </c>
      <c r="B30" s="53">
        <f t="shared" si="1"/>
        <v>39.01785714285711</v>
      </c>
      <c r="C30" s="53">
        <f t="shared" si="1"/>
        <v>22.472447552447555</v>
      </c>
      <c r="D30" s="53">
        <f t="shared" si="1"/>
        <v>30.45517241379304</v>
      </c>
      <c r="E30" s="53">
        <f t="shared" si="1"/>
        <v>48.012500000000003</v>
      </c>
      <c r="F30" s="53">
        <f t="shared" si="1"/>
        <v>60.21678021978024</v>
      </c>
      <c r="G30" s="53">
        <v>169.642857142857</v>
      </c>
      <c r="H30" s="53">
        <v>97.706293706293707</v>
      </c>
      <c r="I30" s="53">
        <v>132.413793103448</v>
      </c>
      <c r="J30" s="53">
        <v>208.75</v>
      </c>
      <c r="K30" s="53">
        <v>261.81208791208797</v>
      </c>
    </row>
    <row r="31" spans="1:20" x14ac:dyDescent="0.2">
      <c r="A31" s="26">
        <v>30</v>
      </c>
      <c r="B31" s="53">
        <f t="shared" si="1"/>
        <v>39.01785714285711</v>
      </c>
      <c r="C31" s="53">
        <f t="shared" si="1"/>
        <v>22.472447552447555</v>
      </c>
      <c r="D31" s="53">
        <f t="shared" si="1"/>
        <v>30.45517241379304</v>
      </c>
      <c r="E31" s="53">
        <f t="shared" si="1"/>
        <v>48.012500000000003</v>
      </c>
      <c r="F31" s="53">
        <f t="shared" si="1"/>
        <v>60.21678021978024</v>
      </c>
      <c r="G31" s="53">
        <v>169.642857142857</v>
      </c>
      <c r="H31" s="53">
        <v>97.706293706293707</v>
      </c>
      <c r="I31" s="53">
        <v>132.413793103448</v>
      </c>
      <c r="J31" s="53">
        <v>208.75</v>
      </c>
      <c r="K31" s="53">
        <v>261.81208791208797</v>
      </c>
    </row>
    <row r="32" spans="1:20" x14ac:dyDescent="0.2">
      <c r="A32" s="26">
        <v>31</v>
      </c>
      <c r="B32" s="53">
        <f t="shared" si="1"/>
        <v>39.01785714285711</v>
      </c>
      <c r="C32" s="53">
        <f t="shared" si="1"/>
        <v>22.472447552447555</v>
      </c>
      <c r="D32" s="53">
        <f t="shared" si="1"/>
        <v>30.45517241379304</v>
      </c>
      <c r="E32" s="53">
        <f t="shared" si="1"/>
        <v>48.012500000000003</v>
      </c>
      <c r="F32" s="53">
        <f t="shared" si="1"/>
        <v>60.21678021978024</v>
      </c>
      <c r="G32" s="53">
        <v>169.642857142857</v>
      </c>
      <c r="H32" s="53">
        <v>97.706293706293707</v>
      </c>
      <c r="I32" s="53">
        <v>132.413793103448</v>
      </c>
      <c r="J32" s="53">
        <v>208.75</v>
      </c>
      <c r="K32" s="53">
        <v>261.81208791208797</v>
      </c>
    </row>
    <row r="33" spans="1:11" x14ac:dyDescent="0.2">
      <c r="A33" s="26">
        <v>32</v>
      </c>
      <c r="B33" s="53">
        <f t="shared" si="1"/>
        <v>39.01785714285711</v>
      </c>
      <c r="C33" s="53">
        <f t="shared" si="1"/>
        <v>22.472447552447555</v>
      </c>
      <c r="D33" s="53">
        <f t="shared" si="1"/>
        <v>30.45517241379304</v>
      </c>
      <c r="E33" s="53">
        <f t="shared" si="1"/>
        <v>48.012500000000003</v>
      </c>
      <c r="F33" s="53">
        <f t="shared" si="1"/>
        <v>60.21678021978024</v>
      </c>
      <c r="G33" s="53">
        <v>169.642857142857</v>
      </c>
      <c r="H33" s="53">
        <v>97.706293706293707</v>
      </c>
      <c r="I33" s="53">
        <v>132.413793103448</v>
      </c>
      <c r="J33" s="53">
        <v>208.75</v>
      </c>
      <c r="K33" s="53">
        <v>261.81208791208797</v>
      </c>
    </row>
    <row r="34" spans="1:11" x14ac:dyDescent="0.2">
      <c r="A34" s="26">
        <v>33</v>
      </c>
      <c r="B34" s="53">
        <f t="shared" si="1"/>
        <v>39.01785714285711</v>
      </c>
      <c r="C34" s="53">
        <f t="shared" si="1"/>
        <v>22.472447552447555</v>
      </c>
      <c r="D34" s="53">
        <f t="shared" si="1"/>
        <v>30.45517241379304</v>
      </c>
      <c r="E34" s="53">
        <f t="shared" si="1"/>
        <v>48.012500000000003</v>
      </c>
      <c r="F34" s="53">
        <f t="shared" si="1"/>
        <v>60.21678021978024</v>
      </c>
      <c r="G34" s="53">
        <v>169.642857142857</v>
      </c>
      <c r="H34" s="53">
        <v>97.706293706293707</v>
      </c>
      <c r="I34" s="53">
        <v>132.413793103448</v>
      </c>
      <c r="J34" s="53">
        <v>208.75</v>
      </c>
      <c r="K34" s="53">
        <v>261.81208791208797</v>
      </c>
    </row>
    <row r="35" spans="1:11" x14ac:dyDescent="0.2">
      <c r="A35" s="26">
        <v>34</v>
      </c>
      <c r="B35" s="53">
        <f t="shared" si="1"/>
        <v>39.01785714285711</v>
      </c>
      <c r="C35" s="53">
        <f t="shared" si="1"/>
        <v>22.472447552447555</v>
      </c>
      <c r="D35" s="53">
        <f t="shared" si="1"/>
        <v>30.45517241379304</v>
      </c>
      <c r="E35" s="53">
        <f t="shared" si="1"/>
        <v>48.012500000000003</v>
      </c>
      <c r="F35" s="53">
        <f t="shared" si="1"/>
        <v>60.21678021978024</v>
      </c>
      <c r="G35" s="53">
        <v>169.642857142857</v>
      </c>
      <c r="H35" s="53">
        <v>97.706293706293707</v>
      </c>
      <c r="I35" s="53">
        <v>132.413793103448</v>
      </c>
      <c r="J35" s="53">
        <v>208.75</v>
      </c>
      <c r="K35" s="53">
        <v>261.81208791208797</v>
      </c>
    </row>
    <row r="36" spans="1:11" x14ac:dyDescent="0.2">
      <c r="A36" s="26">
        <v>35</v>
      </c>
      <c r="B36" s="53">
        <f t="shared" si="1"/>
        <v>39.01785714285711</v>
      </c>
      <c r="C36" s="53">
        <f t="shared" si="1"/>
        <v>22.472447552447555</v>
      </c>
      <c r="D36" s="53">
        <f t="shared" si="1"/>
        <v>30.45517241379304</v>
      </c>
      <c r="E36" s="53">
        <f t="shared" si="1"/>
        <v>48.012500000000003</v>
      </c>
      <c r="F36" s="53">
        <f t="shared" si="1"/>
        <v>60.21678021978024</v>
      </c>
      <c r="G36" s="53">
        <v>169.642857142857</v>
      </c>
      <c r="H36" s="53">
        <v>97.706293706293707</v>
      </c>
      <c r="I36" s="53">
        <v>132.413793103448</v>
      </c>
      <c r="J36" s="53">
        <v>208.75</v>
      </c>
      <c r="K36" s="53">
        <v>261.81208791208797</v>
      </c>
    </row>
    <row r="37" spans="1:11" x14ac:dyDescent="0.2">
      <c r="A37" s="26">
        <v>36</v>
      </c>
      <c r="B37" s="53">
        <f t="shared" si="1"/>
        <v>39.01785714285711</v>
      </c>
      <c r="C37" s="53">
        <f t="shared" si="1"/>
        <v>22.472447552447555</v>
      </c>
      <c r="D37" s="53">
        <f t="shared" si="1"/>
        <v>30.45517241379304</v>
      </c>
      <c r="E37" s="53">
        <f t="shared" si="1"/>
        <v>48.012500000000003</v>
      </c>
      <c r="F37" s="53">
        <f t="shared" si="1"/>
        <v>60.21678021978024</v>
      </c>
      <c r="G37" s="53">
        <v>169.642857142857</v>
      </c>
      <c r="H37" s="53">
        <v>97.706293706293707</v>
      </c>
      <c r="I37" s="53">
        <v>132.413793103448</v>
      </c>
      <c r="J37" s="53">
        <v>208.75</v>
      </c>
      <c r="K37" s="53">
        <v>261.81208791208797</v>
      </c>
    </row>
  </sheetData>
  <phoneticPr fontId="1" type="noConversion"/>
  <conditionalFormatting sqref="R2:R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AC38"/>
  <sheetViews>
    <sheetView zoomScale="120" zoomScaleNormal="120" workbookViewId="0">
      <selection activeCell="D10" sqref="A10:D11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7" max="7" width="11.125" customWidth="1"/>
    <col min="8" max="11" width="11" customWidth="1"/>
    <col min="16" max="16" width="15.375" customWidth="1"/>
    <col min="17" max="18" width="15.375" bestFit="1" customWidth="1"/>
    <col min="19" max="19" width="15.375" customWidth="1"/>
    <col min="24" max="24" width="14.375" customWidth="1"/>
    <col min="25" max="25" width="15.125" bestFit="1" customWidth="1"/>
    <col min="26" max="26" width="12.625" customWidth="1"/>
    <col min="27" max="28" width="15.125" bestFit="1" customWidth="1"/>
    <col min="29" max="29" width="14" customWidth="1"/>
  </cols>
  <sheetData>
    <row r="1" spans="1:29" x14ac:dyDescent="0.2">
      <c r="A1" s="24" t="s">
        <v>887</v>
      </c>
      <c r="B1" s="24" t="s">
        <v>888</v>
      </c>
      <c r="C1" s="24" t="s">
        <v>896</v>
      </c>
      <c r="D1" s="24" t="s">
        <v>893</v>
      </c>
      <c r="E1" s="24" t="s">
        <v>894</v>
      </c>
      <c r="F1" s="24" t="s">
        <v>895</v>
      </c>
      <c r="G1" s="24" t="s">
        <v>1078</v>
      </c>
      <c r="H1" s="24" t="s">
        <v>968</v>
      </c>
      <c r="I1" s="24" t="s">
        <v>969</v>
      </c>
      <c r="J1" s="24" t="s">
        <v>970</v>
      </c>
      <c r="K1" s="24" t="s">
        <v>1079</v>
      </c>
      <c r="L1" s="24" t="s">
        <v>890</v>
      </c>
      <c r="M1" s="24" t="s">
        <v>891</v>
      </c>
      <c r="N1" s="24" t="s">
        <v>892</v>
      </c>
      <c r="O1" s="24" t="s">
        <v>1080</v>
      </c>
      <c r="P1" s="24" t="s">
        <v>965</v>
      </c>
      <c r="Q1" s="24" t="s">
        <v>966</v>
      </c>
      <c r="R1" s="24" t="s">
        <v>967</v>
      </c>
      <c r="S1" s="24" t="s">
        <v>1081</v>
      </c>
      <c r="U1" s="24" t="s">
        <v>906</v>
      </c>
      <c r="V1" s="24" t="s">
        <v>911</v>
      </c>
      <c r="W1" s="24" t="s">
        <v>912</v>
      </c>
      <c r="X1" s="24" t="s">
        <v>910</v>
      </c>
      <c r="Y1" s="24" t="s">
        <v>913</v>
      </c>
    </row>
    <row r="2" spans="1:29" ht="15.75" x14ac:dyDescent="0.3">
      <c r="A2" s="7">
        <v>0</v>
      </c>
      <c r="B2" s="14">
        <v>0</v>
      </c>
      <c r="C2" s="14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14">
        <v>0</v>
      </c>
      <c r="M2" s="14">
        <v>0</v>
      </c>
      <c r="N2" s="14">
        <v>0</v>
      </c>
      <c r="O2" s="14"/>
      <c r="P2" s="14">
        <v>0</v>
      </c>
      <c r="Q2" s="14">
        <v>0</v>
      </c>
      <c r="R2" s="14">
        <v>0</v>
      </c>
      <c r="S2" s="14"/>
      <c r="U2" s="3" t="s">
        <v>907</v>
      </c>
      <c r="V2" s="3">
        <v>44</v>
      </c>
      <c r="W2" s="3">
        <v>3</v>
      </c>
      <c r="X2" s="12">
        <v>25</v>
      </c>
      <c r="Y2" s="14">
        <f>V2*W2/X2</f>
        <v>5.28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21">
        <f>IF(H3=0,0,VLOOKUP(L3/H3,坦克升星消耗!$H$2:$J$8,3,TRUE))</f>
        <v>0</v>
      </c>
      <c r="E3" s="21">
        <f>IF(I3=0,0,VLOOKUP(M3/I3,坦克升星消耗!$H$9:$J$17,3,TRUE))</f>
        <v>0</v>
      </c>
      <c r="F3" s="21">
        <f>IF(J3=0,0,VLOOKUP(N3/J3,坦克升星消耗!$H$26:$J$36,3,TRUE))</f>
        <v>0</v>
      </c>
      <c r="G3" s="21"/>
      <c r="H3" s="21">
        <v>3</v>
      </c>
      <c r="I3" s="21">
        <v>0</v>
      </c>
      <c r="J3" s="21">
        <v>0</v>
      </c>
      <c r="K3" s="21"/>
      <c r="L3" s="14">
        <f>P3*$B3+L2</f>
        <v>3.5200000000000005</v>
      </c>
      <c r="M3" s="14">
        <f>Q3*$B3+M2</f>
        <v>2.04</v>
      </c>
      <c r="N3" s="14">
        <f>R3*$B3+N2</f>
        <v>0</v>
      </c>
      <c r="O3" s="14"/>
      <c r="P3" s="14">
        <v>4.4000000000000004</v>
      </c>
      <c r="Q3" s="14">
        <f>$Y$3</f>
        <v>2.5499999999999998</v>
      </c>
      <c r="R3" s="14">
        <v>0</v>
      </c>
      <c r="S3" s="14"/>
      <c r="U3" s="3" t="s">
        <v>908</v>
      </c>
      <c r="V3" s="3">
        <v>170</v>
      </c>
      <c r="W3" s="3">
        <v>3</v>
      </c>
      <c r="X3" s="12">
        <v>200</v>
      </c>
      <c r="Y3" s="14">
        <f t="shared" ref="Y3:Y4" si="0">V3*W3/X3</f>
        <v>2.5499999999999998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1">
        <f>IF(H4=0,0,VLOOKUP(L4/H4,坦克升星消耗!$H$2:$J$8,3,TRUE))</f>
        <v>1</v>
      </c>
      <c r="E4" s="21">
        <f>IF(I4=0,0,VLOOKUP(M4/I4,坦克升星消耗!$H$9:$J$17,3,TRUE))</f>
        <v>0</v>
      </c>
      <c r="F4" s="21">
        <f>IF(J4=0,0,VLOOKUP(N4/J4,坦克升星消耗!$H$26:$J$36,3,TRUE))</f>
        <v>0</v>
      </c>
      <c r="G4" s="21"/>
      <c r="H4" s="21">
        <v>3</v>
      </c>
      <c r="I4" s="21">
        <v>0</v>
      </c>
      <c r="J4" s="21">
        <v>0</v>
      </c>
      <c r="K4" s="21"/>
      <c r="L4" s="14">
        <f t="shared" ref="L4:L38" si="1">P4*$B4+L3</f>
        <v>10.038518518518519</v>
      </c>
      <c r="M4" s="14">
        <f t="shared" ref="M4:M18" si="2">Q4*$B4+M3</f>
        <v>5.8177777777777777</v>
      </c>
      <c r="N4" s="14">
        <f t="shared" ref="N4:N18" si="3">R4*$B4+N3</f>
        <v>0</v>
      </c>
      <c r="O4" s="14"/>
      <c r="P4" s="14">
        <v>4.4000000000000004</v>
      </c>
      <c r="Q4" s="14">
        <f t="shared" ref="Q4:Q38" si="4">$Y$3</f>
        <v>2.5499999999999998</v>
      </c>
      <c r="R4" s="14">
        <v>0</v>
      </c>
      <c r="S4" s="14"/>
      <c r="U4" s="3" t="s">
        <v>909</v>
      </c>
      <c r="V4" s="3">
        <v>390</v>
      </c>
      <c r="W4" s="3">
        <v>3</v>
      </c>
      <c r="X4" s="12">
        <v>200</v>
      </c>
      <c r="Y4" s="14">
        <f t="shared" si="0"/>
        <v>5.85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1">
        <f>IF(H5=0,0,VLOOKUP(L5/H5,坦克升星消耗!$H$2:$J$8,3,TRUE))</f>
        <v>1</v>
      </c>
      <c r="E5" s="21">
        <f>IF(I5=0,0,VLOOKUP(M5/I5,坦克升星消耗!$H$9:$J$17,3,TRUE))</f>
        <v>1</v>
      </c>
      <c r="F5" s="21">
        <f>IF(J5=0,0,VLOOKUP(N5/J5,坦克升星消耗!$H$26:$J$36,3,TRUE))</f>
        <v>0</v>
      </c>
      <c r="G5" s="21"/>
      <c r="H5" s="21">
        <v>3</v>
      </c>
      <c r="I5" s="21">
        <v>1</v>
      </c>
      <c r="J5" s="21">
        <v>0</v>
      </c>
      <c r="K5" s="21"/>
      <c r="L5" s="14">
        <f t="shared" si="1"/>
        <v>16.213957115009748</v>
      </c>
      <c r="M5" s="14">
        <f t="shared" si="2"/>
        <v>9.396725146198829</v>
      </c>
      <c r="N5" s="14">
        <f t="shared" si="3"/>
        <v>0</v>
      </c>
      <c r="O5" s="14"/>
      <c r="P5" s="14">
        <v>4.4000000000000004</v>
      </c>
      <c r="Q5" s="14">
        <f t="shared" si="4"/>
        <v>2.5499999999999998</v>
      </c>
      <c r="R5" s="14">
        <v>0</v>
      </c>
      <c r="S5" s="14"/>
      <c r="U5" s="3" t="s">
        <v>152</v>
      </c>
      <c r="V5" s="3">
        <v>1320</v>
      </c>
      <c r="W5" s="3">
        <v>3</v>
      </c>
      <c r="X5" s="12">
        <v>600</v>
      </c>
      <c r="Y5" s="14">
        <f>V5*W5/X5</f>
        <v>6.6</v>
      </c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21">
        <f>IF(H6=0,0,VLOOKUP(L6/H6,坦克升星消耗!$H$2:$J$8,3,TRUE))</f>
        <v>2</v>
      </c>
      <c r="E6" s="21">
        <f>IF(I6=0,0,VLOOKUP(M6/I6,坦克升星消耗!$H$9:$J$17,3,TRUE))</f>
        <v>1</v>
      </c>
      <c r="F6" s="21">
        <f>IF(J6=0,0,VLOOKUP(N6/J6,坦克升星消耗!$H$26:$J$36,3,TRUE))</f>
        <v>0</v>
      </c>
      <c r="G6" s="21"/>
      <c r="H6" s="21">
        <v>3</v>
      </c>
      <c r="I6" s="21">
        <v>2</v>
      </c>
      <c r="J6" s="21">
        <v>0</v>
      </c>
      <c r="K6" s="21"/>
      <c r="L6" s="14">
        <f t="shared" si="1"/>
        <v>26.77395711500975</v>
      </c>
      <c r="M6" s="14">
        <f t="shared" si="2"/>
        <v>14.496725146198829</v>
      </c>
      <c r="N6" s="14">
        <f t="shared" si="3"/>
        <v>0</v>
      </c>
      <c r="O6" s="14"/>
      <c r="P6" s="14">
        <f>$Y$2</f>
        <v>5.28</v>
      </c>
      <c r="Q6" s="14">
        <f t="shared" si="4"/>
        <v>2.5499999999999998</v>
      </c>
      <c r="R6" s="14">
        <v>0</v>
      </c>
      <c r="S6" s="14"/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21">
        <f>IF(H7=0,0,VLOOKUP(L7/H7,坦克升星消耗!$H$2:$J$8,3,TRUE))</f>
        <v>3</v>
      </c>
      <c r="E7" s="21">
        <f>IF(I7=0,0,VLOOKUP(M7/I7,坦克升星消耗!$H$9:$J$17,3,TRUE))</f>
        <v>1</v>
      </c>
      <c r="F7" s="21">
        <f>IF(J7=0,0,VLOOKUP(N7/J7,坦克升星消耗!$H$26:$J$36,3,TRUE))</f>
        <v>1</v>
      </c>
      <c r="G7" s="21"/>
      <c r="H7" s="21">
        <v>3</v>
      </c>
      <c r="I7" s="21">
        <v>3</v>
      </c>
      <c r="J7" s="21">
        <v>1</v>
      </c>
      <c r="K7" s="21"/>
      <c r="L7" s="14">
        <f t="shared" si="1"/>
        <v>50.240623781676419</v>
      </c>
      <c r="M7" s="14">
        <f t="shared" si="2"/>
        <v>25.830058479532163</v>
      </c>
      <c r="N7" s="14">
        <f t="shared" si="3"/>
        <v>26</v>
      </c>
      <c r="O7" s="14"/>
      <c r="P7" s="14">
        <f t="shared" ref="P7:P38" si="5">$Y$2</f>
        <v>5.28</v>
      </c>
      <c r="Q7" s="14">
        <f t="shared" si="4"/>
        <v>2.5499999999999998</v>
      </c>
      <c r="R7" s="14">
        <f t="shared" ref="R7:R38" si="6">$Y$4</f>
        <v>5.85</v>
      </c>
      <c r="S7" s="14"/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21">
        <f>IF(H8=0,0,VLOOKUP(L8/H8,坦克升星消耗!$H$2:$J$8,3,TRUE))</f>
        <v>4</v>
      </c>
      <c r="E8" s="21">
        <f>IF(I8=0,0,VLOOKUP(M8/I8,坦克升星消耗!$H$9:$J$17,3,TRUE))</f>
        <v>2</v>
      </c>
      <c r="F8" s="21">
        <f>IF(J8=0,0,VLOOKUP(N8/J8,坦克升星消耗!$H$26:$J$36,3,TRUE))</f>
        <v>1</v>
      </c>
      <c r="G8" s="21"/>
      <c r="H8" s="21">
        <v>3</v>
      </c>
      <c r="I8" s="21">
        <v>3</v>
      </c>
      <c r="J8" s="21">
        <v>2</v>
      </c>
      <c r="K8" s="21"/>
      <c r="L8" s="14">
        <f t="shared" si="1"/>
        <v>78.400623781676416</v>
      </c>
      <c r="M8" s="14">
        <f t="shared" si="2"/>
        <v>39.430058479532164</v>
      </c>
      <c r="N8" s="14">
        <f t="shared" si="3"/>
        <v>57.199999999999996</v>
      </c>
      <c r="O8" s="14"/>
      <c r="P8" s="14">
        <f t="shared" si="5"/>
        <v>5.28</v>
      </c>
      <c r="Q8" s="14">
        <f t="shared" si="4"/>
        <v>2.5499999999999998</v>
      </c>
      <c r="R8" s="14">
        <f t="shared" si="6"/>
        <v>5.85</v>
      </c>
      <c r="S8" s="14"/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21">
        <f>IF(H9=0,0,VLOOKUP(L9/H9,坦克升星消耗!$H$2:$J$8,3,TRUE))</f>
        <v>5</v>
      </c>
      <c r="E9" s="21">
        <f>IF(I9=0,0,VLOOKUP(M9/I9,坦克升星消耗!$H$9:$J$17,3,TRUE))</f>
        <v>2</v>
      </c>
      <c r="F9" s="21">
        <f>IF(J9=0,0,VLOOKUP(N9/J9,坦克升星消耗!$H$26:$J$36,3,TRUE))</f>
        <v>2</v>
      </c>
      <c r="G9" s="21"/>
      <c r="H9" s="21">
        <v>3</v>
      </c>
      <c r="I9" s="21">
        <v>3</v>
      </c>
      <c r="J9" s="21">
        <v>2</v>
      </c>
      <c r="K9" s="21"/>
      <c r="L9" s="14">
        <f t="shared" si="1"/>
        <v>105.65223668490222</v>
      </c>
      <c r="M9" s="14">
        <f t="shared" si="2"/>
        <v>52.591348802112805</v>
      </c>
      <c r="N9" s="14">
        <f t="shared" si="3"/>
        <v>87.393548387096772</v>
      </c>
      <c r="O9" s="14"/>
      <c r="P9" s="14">
        <f t="shared" si="5"/>
        <v>5.28</v>
      </c>
      <c r="Q9" s="14">
        <f t="shared" si="4"/>
        <v>2.5499999999999998</v>
      </c>
      <c r="R9" s="14">
        <f t="shared" si="6"/>
        <v>5.85</v>
      </c>
      <c r="S9" s="14"/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21">
        <f>IF(H10=0,0,VLOOKUP(L10/H10,坦克升星消耗!$H$2:$J$8,3,TRUE))</f>
        <v>6</v>
      </c>
      <c r="E10" s="21">
        <f>IF(I10=0,0,VLOOKUP(M10/I10,坦克升星消耗!$H$9:$J$17,3,TRUE))</f>
        <v>3</v>
      </c>
      <c r="F10" s="21">
        <f>IF(J10=0,0,VLOOKUP(N10/J10,坦克升星消耗!$H$26:$J$36,3,TRUE))</f>
        <v>2</v>
      </c>
      <c r="G10" s="21"/>
      <c r="H10" s="21">
        <v>3</v>
      </c>
      <c r="I10" s="21">
        <v>3</v>
      </c>
      <c r="J10" s="21">
        <v>3</v>
      </c>
      <c r="K10" s="21"/>
      <c r="L10" s="14">
        <f t="shared" si="1"/>
        <v>140.85223668490221</v>
      </c>
      <c r="M10" s="14">
        <f t="shared" si="2"/>
        <v>69.591348802112805</v>
      </c>
      <c r="N10" s="14">
        <f t="shared" si="3"/>
        <v>126.39354838709677</v>
      </c>
      <c r="O10" s="14"/>
      <c r="P10" s="14">
        <f t="shared" si="5"/>
        <v>5.28</v>
      </c>
      <c r="Q10" s="14">
        <f t="shared" si="4"/>
        <v>2.5499999999999998</v>
      </c>
      <c r="R10" s="14">
        <f t="shared" si="6"/>
        <v>5.85</v>
      </c>
      <c r="S10" s="14"/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21">
        <f>IF(H11=0,0,VLOOKUP(L11/H11,坦克升星消耗!$H$2:$J$8,3,TRUE))</f>
        <v>6</v>
      </c>
      <c r="E11" s="21">
        <f>IF(I11=0,0,VLOOKUP(M11/I11,坦克升星消耗!$H$9:$J$17,3,TRUE))</f>
        <v>3</v>
      </c>
      <c r="F11" s="21">
        <f>IF(J11=0,0,VLOOKUP(N11/J11,坦克升星消耗!$H$26:$J$36,3,TRUE))</f>
        <v>2</v>
      </c>
      <c r="G11" s="21"/>
      <c r="H11" s="21">
        <v>3</v>
      </c>
      <c r="I11" s="21">
        <v>3</v>
      </c>
      <c r="J11" s="21">
        <v>3</v>
      </c>
      <c r="K11" s="21"/>
      <c r="L11" s="14">
        <f t="shared" si="1"/>
        <v>184.1482366849022</v>
      </c>
      <c r="M11" s="14">
        <f t="shared" si="2"/>
        <v>90.501348802112801</v>
      </c>
      <c r="N11" s="14">
        <f t="shared" si="3"/>
        <v>174.36354838709676</v>
      </c>
      <c r="O11" s="14"/>
      <c r="P11" s="14">
        <f t="shared" si="5"/>
        <v>5.28</v>
      </c>
      <c r="Q11" s="14">
        <f t="shared" si="4"/>
        <v>2.5499999999999998</v>
      </c>
      <c r="R11" s="14">
        <f t="shared" si="6"/>
        <v>5.85</v>
      </c>
      <c r="S11" s="14"/>
      <c r="Z11" s="27"/>
      <c r="AA11" s="27"/>
      <c r="AB11" s="27"/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21">
        <f>IF(H12=0,0,VLOOKUP(L12/H12,坦克升星消耗!$H$2:$J$8,3,TRUE))</f>
        <v>6</v>
      </c>
      <c r="E12" s="21">
        <f>IF(I12=0,0,VLOOKUP(M12/I12,坦克升星消耗!$H$9:$J$17,3,TRUE))</f>
        <v>3</v>
      </c>
      <c r="F12" s="21">
        <f>IF(J12=0,0,VLOOKUP(N12/J12,坦克升星消耗!$H$26:$J$36,3,TRUE))</f>
        <v>3</v>
      </c>
      <c r="G12" s="21"/>
      <c r="H12" s="21">
        <v>3</v>
      </c>
      <c r="I12" s="21">
        <v>3</v>
      </c>
      <c r="J12" s="21">
        <v>3</v>
      </c>
      <c r="K12" s="21"/>
      <c r="L12" s="14">
        <f t="shared" si="1"/>
        <v>228.65863668490221</v>
      </c>
      <c r="M12" s="14">
        <f t="shared" si="2"/>
        <v>111.9978488021128</v>
      </c>
      <c r="N12" s="14">
        <f t="shared" si="3"/>
        <v>223.67904838709674</v>
      </c>
      <c r="O12" s="14"/>
      <c r="P12" s="14">
        <f t="shared" si="5"/>
        <v>5.28</v>
      </c>
      <c r="Q12" s="14">
        <f t="shared" si="4"/>
        <v>2.5499999999999998</v>
      </c>
      <c r="R12" s="14">
        <f t="shared" si="6"/>
        <v>5.85</v>
      </c>
      <c r="S12" s="14"/>
      <c r="Z12" s="9"/>
      <c r="AA12" s="9"/>
      <c r="AB12" s="9"/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21">
        <f>IF(H13=0,0,VLOOKUP(L13/H13,坦克升星消耗!$H$2:$J$8,3,TRUE))</f>
        <v>6</v>
      </c>
      <c r="E13" s="21">
        <f>IF(I13=0,0,VLOOKUP(M13/I13,坦克升星消耗!$H$9:$J$17,3,TRUE))</f>
        <v>3</v>
      </c>
      <c r="F13" s="21">
        <f>IF(J13=0,0,VLOOKUP(N13/J13,坦克升星消耗!$H$26:$J$36,3,TRUE))</f>
        <v>4</v>
      </c>
      <c r="G13" s="21"/>
      <c r="H13" s="21">
        <v>3</v>
      </c>
      <c r="I13" s="21">
        <v>3</v>
      </c>
      <c r="J13" s="21">
        <v>3</v>
      </c>
      <c r="K13" s="21"/>
      <c r="L13" s="14">
        <f t="shared" si="1"/>
        <v>278.44903668490218</v>
      </c>
      <c r="M13" s="14">
        <f t="shared" si="2"/>
        <v>136.04434880211281</v>
      </c>
      <c r="N13" s="14">
        <f t="shared" si="3"/>
        <v>278.84454838709672</v>
      </c>
      <c r="O13" s="14"/>
      <c r="P13" s="14">
        <f t="shared" si="5"/>
        <v>5.28</v>
      </c>
      <c r="Q13" s="14">
        <f t="shared" si="4"/>
        <v>2.5499999999999998</v>
      </c>
      <c r="R13" s="14">
        <f t="shared" si="6"/>
        <v>5.85</v>
      </c>
      <c r="S13" s="14"/>
      <c r="Z13" s="9"/>
      <c r="AA13" s="9"/>
      <c r="AB13" s="9"/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21">
        <f>IF(H14=0,0,VLOOKUP(L14/H14,坦克升星消耗!$H$2:$J$8,3,TRUE))</f>
        <v>6</v>
      </c>
      <c r="E14" s="21">
        <f>IF(I14=0,0,VLOOKUP(M14/I14,坦克升星消耗!$H$9:$J$17,3,TRUE))</f>
        <v>4</v>
      </c>
      <c r="F14" s="21">
        <f>IF(J14=0,0,VLOOKUP(N14/J14,坦克升星消耗!$H$26:$J$36,3,TRUE))</f>
        <v>4</v>
      </c>
      <c r="G14" s="21"/>
      <c r="H14" s="21">
        <v>3</v>
      </c>
      <c r="I14" s="21">
        <v>3</v>
      </c>
      <c r="J14" s="21">
        <v>3</v>
      </c>
      <c r="K14" s="21"/>
      <c r="L14" s="14">
        <f t="shared" si="1"/>
        <v>333.51943668490219</v>
      </c>
      <c r="M14" s="14">
        <f t="shared" si="2"/>
        <v>162.6408488021128</v>
      </c>
      <c r="N14" s="14">
        <f t="shared" si="3"/>
        <v>339.8600483870967</v>
      </c>
      <c r="O14" s="14"/>
      <c r="P14" s="14">
        <f t="shared" si="5"/>
        <v>5.28</v>
      </c>
      <c r="Q14" s="14">
        <f t="shared" si="4"/>
        <v>2.5499999999999998</v>
      </c>
      <c r="R14" s="14">
        <f t="shared" si="6"/>
        <v>5.85</v>
      </c>
      <c r="S14" s="14"/>
      <c r="Z14" s="9"/>
      <c r="AA14" s="9"/>
      <c r="AB14" s="9"/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21">
        <f>IF(H15=0,0,VLOOKUP(L15/H15,坦克升星消耗!$H$2:$J$8,3,TRUE))</f>
        <v>6</v>
      </c>
      <c r="E15" s="21">
        <f>IF(I15=0,0,VLOOKUP(M15/I15,坦克升星消耗!$H$9:$J$17,3,TRUE))</f>
        <v>4</v>
      </c>
      <c r="F15" s="21">
        <f>IF(J15=0,0,VLOOKUP(N15/J15,坦克升星消耗!$H$26:$J$36,3,TRUE))</f>
        <v>4</v>
      </c>
      <c r="G15" s="21"/>
      <c r="H15" s="21">
        <v>3</v>
      </c>
      <c r="I15" s="21">
        <v>3</v>
      </c>
      <c r="J15" s="21">
        <v>3</v>
      </c>
      <c r="K15" s="21"/>
      <c r="L15" s="14">
        <f t="shared" si="1"/>
        <v>393.86983668490217</v>
      </c>
      <c r="M15" s="14">
        <f t="shared" si="2"/>
        <v>191.7873488021128</v>
      </c>
      <c r="N15" s="14">
        <f t="shared" si="3"/>
        <v>406.72554838709669</v>
      </c>
      <c r="O15" s="14"/>
      <c r="P15" s="14">
        <f t="shared" si="5"/>
        <v>5.28</v>
      </c>
      <c r="Q15" s="14">
        <f t="shared" si="4"/>
        <v>2.5499999999999998</v>
      </c>
      <c r="R15" s="14">
        <f t="shared" si="6"/>
        <v>5.85</v>
      </c>
      <c r="S15" s="14"/>
      <c r="U15" s="9"/>
      <c r="V15" s="9"/>
      <c r="W15" s="9"/>
      <c r="X15" s="20"/>
      <c r="Y15" s="9"/>
      <c r="Z15" s="9"/>
      <c r="AA15" s="9"/>
      <c r="AB15" s="9"/>
      <c r="AC15" s="9"/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21">
        <f>IF(H16=0,0,VLOOKUP(L16/H16,坦克升星消耗!$H$2:$J$8,3,TRUE))</f>
        <v>6</v>
      </c>
      <c r="E16" s="21">
        <f>IF(I16=0,0,VLOOKUP(M16/I16,坦克升星消耗!$H$9:$J$17,3,TRUE))</f>
        <v>4</v>
      </c>
      <c r="F16" s="21">
        <f>IF(J16=0,0,VLOOKUP(N16/J16,坦克升星消耗!$H$26:$J$36,3,TRUE))</f>
        <v>5</v>
      </c>
      <c r="G16" s="21"/>
      <c r="H16" s="21">
        <v>3</v>
      </c>
      <c r="I16" s="21">
        <v>3</v>
      </c>
      <c r="J16" s="21">
        <v>3</v>
      </c>
      <c r="K16" s="21"/>
      <c r="L16" s="14">
        <f t="shared" si="1"/>
        <v>459.50023668490218</v>
      </c>
      <c r="M16" s="14">
        <f t="shared" si="2"/>
        <v>223.48384880211279</v>
      </c>
      <c r="N16" s="14">
        <f t="shared" si="3"/>
        <v>479.44104838709666</v>
      </c>
      <c r="O16" s="14"/>
      <c r="P16" s="14">
        <f t="shared" si="5"/>
        <v>5.28</v>
      </c>
      <c r="Q16" s="14">
        <f t="shared" si="4"/>
        <v>2.5499999999999998</v>
      </c>
      <c r="R16" s="14">
        <f t="shared" si="6"/>
        <v>5.85</v>
      </c>
      <c r="S16" s="14"/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21">
        <f>IF(H17=0,0,VLOOKUP(L17/H17,坦克升星消耗!$H$2:$J$8,3,TRUE))</f>
        <v>6</v>
      </c>
      <c r="E17" s="21">
        <f>IF(I17=0,0,VLOOKUP(M17/I17,坦克升星消耗!$H$9:$J$17,3,TRUE))</f>
        <v>5</v>
      </c>
      <c r="F17" s="21">
        <f>IF(J17=0,0,VLOOKUP(N17/J17,坦克升星消耗!$H$26:$J$36,3,TRUE))</f>
        <v>5</v>
      </c>
      <c r="G17" s="21"/>
      <c r="H17" s="21">
        <v>3</v>
      </c>
      <c r="I17" s="21">
        <v>3</v>
      </c>
      <c r="J17" s="21">
        <v>3</v>
      </c>
      <c r="K17" s="21"/>
      <c r="L17" s="14">
        <f t="shared" si="1"/>
        <v>530.41063668490222</v>
      </c>
      <c r="M17" s="14">
        <f t="shared" si="2"/>
        <v>257.73034880211276</v>
      </c>
      <c r="N17" s="14">
        <f t="shared" si="3"/>
        <v>558.0065483870967</v>
      </c>
      <c r="O17" s="14"/>
      <c r="P17" s="14">
        <f t="shared" si="5"/>
        <v>5.28</v>
      </c>
      <c r="Q17" s="14">
        <f t="shared" si="4"/>
        <v>2.5499999999999998</v>
      </c>
      <c r="R17" s="14">
        <f t="shared" si="6"/>
        <v>5.85</v>
      </c>
      <c r="S17" s="14"/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21">
        <f>IF(H18=0,0,VLOOKUP(L18/H18,坦克升星消耗!$H$2:$J$8,3,TRUE))</f>
        <v>6</v>
      </c>
      <c r="E18" s="21">
        <f>IF(I18=0,0,VLOOKUP(M18/I18,坦克升星消耗!$H$9:$J$17,3,TRUE))</f>
        <v>5</v>
      </c>
      <c r="F18" s="21">
        <f>IF(J18=0,0,VLOOKUP(N18/J18,坦克升星消耗!$H$26:$J$36,3,TRUE))</f>
        <v>6</v>
      </c>
      <c r="G18" s="21"/>
      <c r="H18" s="21">
        <v>3</v>
      </c>
      <c r="I18" s="21">
        <v>3</v>
      </c>
      <c r="J18" s="21">
        <v>3</v>
      </c>
      <c r="K18" s="21"/>
      <c r="L18" s="14">
        <f t="shared" si="1"/>
        <v>606.60103668490217</v>
      </c>
      <c r="M18" s="14">
        <f t="shared" si="2"/>
        <v>294.52684880211274</v>
      </c>
      <c r="N18" s="14">
        <f t="shared" si="3"/>
        <v>642.42204838709665</v>
      </c>
      <c r="O18" s="14"/>
      <c r="P18" s="14">
        <f t="shared" si="5"/>
        <v>5.28</v>
      </c>
      <c r="Q18" s="14">
        <f t="shared" si="4"/>
        <v>2.5499999999999998</v>
      </c>
      <c r="R18" s="14">
        <f t="shared" si="6"/>
        <v>5.85</v>
      </c>
      <c r="S18" s="14"/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21">
        <f>IF(H19=0,0,VLOOKUP(L19/H19,坦克升星消耗!$H$2:$J$8,3,TRUE))</f>
        <v>6</v>
      </c>
      <c r="E19" s="21">
        <f>IF(I19=0,0,VLOOKUP(M19/I19,坦克升星消耗!$H$9:$J$17,3,TRUE))</f>
        <v>6</v>
      </c>
      <c r="F19" s="21">
        <f>IF(J19=0,0,VLOOKUP(N19/J19,坦克升星消耗!$H$26:$J$36,3,TRUE))</f>
        <v>7</v>
      </c>
      <c r="G19" s="21"/>
      <c r="H19" s="21">
        <v>3</v>
      </c>
      <c r="I19" s="21">
        <v>3</v>
      </c>
      <c r="J19" s="21">
        <v>3</v>
      </c>
      <c r="K19" s="21"/>
      <c r="L19" s="14">
        <f t="shared" si="1"/>
        <v>688.07143668490221</v>
      </c>
      <c r="M19" s="14">
        <f t="shared" ref="M19:M38" si="7">Q19*$B19+M18</f>
        <v>333.87334880211273</v>
      </c>
      <c r="N19" s="14">
        <f t="shared" ref="N19:N38" si="8">R19*$B19+N18</f>
        <v>732.68754838709663</v>
      </c>
      <c r="O19" s="14"/>
      <c r="P19" s="14">
        <f t="shared" si="5"/>
        <v>5.28</v>
      </c>
      <c r="Q19" s="14">
        <f t="shared" si="4"/>
        <v>2.5499999999999998</v>
      </c>
      <c r="R19" s="14">
        <f t="shared" si="6"/>
        <v>5.85</v>
      </c>
      <c r="S19" s="14"/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21">
        <f>IF(H20=0,0,VLOOKUP(L20/H20,坦克升星消耗!$H$2:$J$8,3,TRUE))</f>
        <v>6</v>
      </c>
      <c r="E20" s="21">
        <f>IF(I20=0,0,VLOOKUP(M20/I20,坦克升星消耗!$H$9:$J$17,3,TRUE))</f>
        <v>6</v>
      </c>
      <c r="F20" s="21">
        <f>IF(J20=0,0,VLOOKUP(N20/J20,坦克升星消耗!$H$26:$J$36,3,TRUE))</f>
        <v>7</v>
      </c>
      <c r="G20" s="21"/>
      <c r="H20" s="21">
        <v>3</v>
      </c>
      <c r="I20" s="21">
        <v>3</v>
      </c>
      <c r="J20" s="21">
        <v>3</v>
      </c>
      <c r="K20" s="21"/>
      <c r="L20" s="14">
        <f t="shared" si="1"/>
        <v>774.82183668490222</v>
      </c>
      <c r="M20" s="14">
        <f t="shared" si="7"/>
        <v>375.76984880211273</v>
      </c>
      <c r="N20" s="14">
        <f t="shared" si="8"/>
        <v>828.80304838709662</v>
      </c>
      <c r="O20" s="14"/>
      <c r="P20" s="14">
        <f t="shared" si="5"/>
        <v>5.28</v>
      </c>
      <c r="Q20" s="14">
        <f t="shared" si="4"/>
        <v>2.5499999999999998</v>
      </c>
      <c r="R20" s="14">
        <f t="shared" si="6"/>
        <v>5.85</v>
      </c>
      <c r="S20" s="14"/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21">
        <f>IF(H21=0,0,VLOOKUP(L21/H21,坦克升星消耗!$H$2:$J$8,3,TRUE))</f>
        <v>6</v>
      </c>
      <c r="E21" s="21">
        <f>IF(I21=0,0,VLOOKUP(M21/I21,坦克升星消耗!$H$9:$J$17,3,TRUE))</f>
        <v>7</v>
      </c>
      <c r="F21" s="21">
        <f>IF(J21=0,0,VLOOKUP(N21/J21,坦克升星消耗!$H$26:$J$36,3,TRUE))</f>
        <v>8</v>
      </c>
      <c r="G21" s="21"/>
      <c r="H21" s="21">
        <v>3</v>
      </c>
      <c r="I21" s="21">
        <v>3</v>
      </c>
      <c r="J21" s="21">
        <v>3</v>
      </c>
      <c r="K21" s="21"/>
      <c r="L21" s="14">
        <f t="shared" si="1"/>
        <v>871.97383668490227</v>
      </c>
      <c r="M21" s="14">
        <f t="shared" si="7"/>
        <v>422.68984880211275</v>
      </c>
      <c r="N21" s="14">
        <f t="shared" si="8"/>
        <v>936.44304838709661</v>
      </c>
      <c r="O21" s="14"/>
      <c r="P21" s="14">
        <f t="shared" si="5"/>
        <v>5.28</v>
      </c>
      <c r="Q21" s="14">
        <f t="shared" si="4"/>
        <v>2.5499999999999998</v>
      </c>
      <c r="R21" s="14">
        <f t="shared" si="6"/>
        <v>5.85</v>
      </c>
      <c r="S21" s="14"/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21">
        <f>IF(H22=0,0,VLOOKUP(L22/H22,坦克升星消耗!$H$2:$J$8,3,TRUE))</f>
        <v>6</v>
      </c>
      <c r="E22" s="21">
        <f>IF(I22=0,0,VLOOKUP(M22/I22,坦克升星消耗!$H$9:$J$17,3,TRUE))</f>
        <v>7</v>
      </c>
      <c r="F22" s="21">
        <f>IF(J22=0,0,VLOOKUP(N22/J22,坦克升星消耗!$H$26:$J$36,3,TRUE))</f>
        <v>9</v>
      </c>
      <c r="G22" s="21"/>
      <c r="H22" s="21">
        <v>3</v>
      </c>
      <c r="I22" s="21">
        <v>3</v>
      </c>
      <c r="J22" s="21">
        <v>3</v>
      </c>
      <c r="K22" s="21"/>
      <c r="L22" s="14">
        <f t="shared" si="1"/>
        <v>976.51783668490225</v>
      </c>
      <c r="M22" s="14">
        <f t="shared" si="7"/>
        <v>473.17984880211276</v>
      </c>
      <c r="N22" s="14">
        <f t="shared" si="8"/>
        <v>1052.2730483870967</v>
      </c>
      <c r="O22" s="14"/>
      <c r="P22" s="14">
        <f t="shared" si="5"/>
        <v>5.28</v>
      </c>
      <c r="Q22" s="14">
        <f t="shared" si="4"/>
        <v>2.5499999999999998</v>
      </c>
      <c r="R22" s="14">
        <f t="shared" si="6"/>
        <v>5.85</v>
      </c>
      <c r="S22" s="14"/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21">
        <f>IF(H23=0,0,VLOOKUP(L23/H23,坦克升星消耗!$H$2:$J$8,3,TRUE))</f>
        <v>6</v>
      </c>
      <c r="E23" s="21">
        <f>IF(I23=0,0,VLOOKUP(M23/I23,坦克升星消耗!$H$9:$J$17,3,TRUE))</f>
        <v>8</v>
      </c>
      <c r="F23" s="21">
        <f>IF(J23=0,0,VLOOKUP(N23/J23,坦克升星消耗!$H$26:$J$36,3,TRUE))</f>
        <v>10</v>
      </c>
      <c r="G23" s="21"/>
      <c r="H23" s="21">
        <v>3</v>
      </c>
      <c r="I23" s="21">
        <v>3</v>
      </c>
      <c r="J23" s="21">
        <v>3</v>
      </c>
      <c r="K23" s="21"/>
      <c r="L23" s="14">
        <f t="shared" si="1"/>
        <v>1088.4538366849022</v>
      </c>
      <c r="M23" s="14">
        <f t="shared" si="7"/>
        <v>527.23984880211276</v>
      </c>
      <c r="N23" s="14">
        <f t="shared" si="8"/>
        <v>1176.2930483870966</v>
      </c>
      <c r="O23" s="14"/>
      <c r="P23" s="14">
        <f t="shared" si="5"/>
        <v>5.28</v>
      </c>
      <c r="Q23" s="14">
        <f t="shared" si="4"/>
        <v>2.5499999999999998</v>
      </c>
      <c r="R23" s="14">
        <f t="shared" si="6"/>
        <v>5.85</v>
      </c>
      <c r="S23" s="14"/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21">
        <f>IF(H24=0,0,VLOOKUP(L24/H24,坦克升星消耗!$H$2:$J$8,3,TRUE))</f>
        <v>6</v>
      </c>
      <c r="E24" s="21">
        <f>IF(I24=0,0,VLOOKUP(M24/I24,坦克升星消耗!$H$9:$J$17,3,TRUE))</f>
        <v>8</v>
      </c>
      <c r="F24" s="21">
        <f>IF(J24=0,0,VLOOKUP(N24/J24,坦克升星消耗!$H$26:$J$36,3,TRUE))</f>
        <v>10</v>
      </c>
      <c r="G24" s="21"/>
      <c r="H24" s="21">
        <v>3</v>
      </c>
      <c r="I24" s="21">
        <v>3</v>
      </c>
      <c r="J24" s="21">
        <v>3</v>
      </c>
      <c r="K24" s="21"/>
      <c r="L24" s="14">
        <f t="shared" si="1"/>
        <v>1207.7818366849021</v>
      </c>
      <c r="M24" s="14">
        <f t="shared" si="7"/>
        <v>584.86984880211276</v>
      </c>
      <c r="N24" s="14">
        <f t="shared" si="8"/>
        <v>1308.5030483870967</v>
      </c>
      <c r="O24" s="14"/>
      <c r="P24" s="14">
        <f t="shared" si="5"/>
        <v>5.28</v>
      </c>
      <c r="Q24" s="14">
        <f t="shared" si="4"/>
        <v>2.5499999999999998</v>
      </c>
      <c r="R24" s="14">
        <f t="shared" si="6"/>
        <v>5.85</v>
      </c>
      <c r="S24" s="14"/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21">
        <f>IF(H25=0,0,VLOOKUP(L25/H25,坦克升星消耗!$H$2:$J$8,3,TRUE))</f>
        <v>6</v>
      </c>
      <c r="E25" s="21">
        <f>IF(I25=0,0,VLOOKUP(M25/I25,坦克升星消耗!$H$9:$J$17,3,TRUE))</f>
        <v>8</v>
      </c>
      <c r="F25" s="21">
        <f>IF(J25=0,0,VLOOKUP(N25/J25,坦克升星消耗!$H$26:$J$36,3,TRUE))</f>
        <v>10</v>
      </c>
      <c r="G25" s="21"/>
      <c r="H25" s="21">
        <v>3</v>
      </c>
      <c r="I25" s="21">
        <v>3</v>
      </c>
      <c r="J25" s="21">
        <v>3</v>
      </c>
      <c r="K25" s="21"/>
      <c r="L25" s="14">
        <f t="shared" si="1"/>
        <v>1334.5018366849022</v>
      </c>
      <c r="M25" s="14">
        <f t="shared" si="7"/>
        <v>646.0698488021128</v>
      </c>
      <c r="N25" s="14">
        <f t="shared" si="8"/>
        <v>1448.9030483870965</v>
      </c>
      <c r="O25" s="14"/>
      <c r="P25" s="14">
        <f t="shared" si="5"/>
        <v>5.28</v>
      </c>
      <c r="Q25" s="14">
        <f t="shared" si="4"/>
        <v>2.5499999999999998</v>
      </c>
      <c r="R25" s="14">
        <f t="shared" si="6"/>
        <v>5.85</v>
      </c>
      <c r="S25" s="14"/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21">
        <f>IF(H26=0,0,VLOOKUP(L26/H26,坦克升星消耗!$H$2:$J$8,3,TRUE))</f>
        <v>6</v>
      </c>
      <c r="E26" s="21">
        <f>IF(I26=0,0,VLOOKUP(M26/I26,坦克升星消耗!$H$9:$J$17,3,TRUE))</f>
        <v>8</v>
      </c>
      <c r="F26" s="21">
        <f>IF(J26=0,0,VLOOKUP(N26/J26,坦克升星消耗!$H$26:$J$36,3,TRUE))</f>
        <v>10</v>
      </c>
      <c r="G26" s="21"/>
      <c r="H26" s="21">
        <v>3</v>
      </c>
      <c r="I26" s="21">
        <v>3</v>
      </c>
      <c r="J26" s="21">
        <v>3</v>
      </c>
      <c r="K26" s="21"/>
      <c r="L26" s="14">
        <f t="shared" si="1"/>
        <v>1468.6138366849023</v>
      </c>
      <c r="M26" s="14">
        <f t="shared" si="7"/>
        <v>710.83984880211278</v>
      </c>
      <c r="N26" s="14">
        <f t="shared" si="8"/>
        <v>1597.4930483870965</v>
      </c>
      <c r="O26" s="14"/>
      <c r="P26" s="14">
        <f t="shared" si="5"/>
        <v>5.28</v>
      </c>
      <c r="Q26" s="14">
        <f t="shared" si="4"/>
        <v>2.5499999999999998</v>
      </c>
      <c r="R26" s="14">
        <f t="shared" si="6"/>
        <v>5.85</v>
      </c>
      <c r="S26" s="14"/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21">
        <f>IF(H27=0,0,VLOOKUP(L27/H27,坦克升星消耗!$H$2:$J$8,3,TRUE))</f>
        <v>6</v>
      </c>
      <c r="E27" s="21">
        <f>IF(I27=0,0,VLOOKUP(M27/I27,坦克升星消耗!$H$9:$J$17,3,TRUE))</f>
        <v>8</v>
      </c>
      <c r="F27" s="21">
        <f>IF(J27=0,0,VLOOKUP(N27/J27,坦克升星消耗!$H$26:$J$36,3,TRUE))</f>
        <v>10</v>
      </c>
      <c r="G27" s="21"/>
      <c r="H27" s="21">
        <v>3</v>
      </c>
      <c r="I27" s="21">
        <v>3</v>
      </c>
      <c r="J27" s="21">
        <v>3</v>
      </c>
      <c r="K27" s="21"/>
      <c r="L27" s="14">
        <f t="shared" si="1"/>
        <v>1610.1178366849022</v>
      </c>
      <c r="M27" s="14">
        <f t="shared" si="7"/>
        <v>779.17984880211282</v>
      </c>
      <c r="N27" s="14">
        <f t="shared" si="8"/>
        <v>1754.2730483870964</v>
      </c>
      <c r="O27" s="14"/>
      <c r="P27" s="14">
        <f t="shared" si="5"/>
        <v>5.28</v>
      </c>
      <c r="Q27" s="14">
        <f t="shared" si="4"/>
        <v>2.5499999999999998</v>
      </c>
      <c r="R27" s="14">
        <f t="shared" si="6"/>
        <v>5.85</v>
      </c>
      <c r="S27" s="14"/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21">
        <f>IF(H28=0,0,VLOOKUP(L28/H28,坦克升星消耗!$H$2:$J$8,3,TRUE))</f>
        <v>6</v>
      </c>
      <c r="E28" s="21">
        <f>IF(I28=0,0,VLOOKUP(M28/I28,坦克升星消耗!$H$9:$J$17,3,TRUE))</f>
        <v>8</v>
      </c>
      <c r="F28" s="21">
        <f>IF(J28=0,0,VLOOKUP(N28/J28,坦克升星消耗!$H$26:$J$36,3,TRUE))</f>
        <v>10</v>
      </c>
      <c r="G28" s="21"/>
      <c r="H28" s="21">
        <v>3</v>
      </c>
      <c r="I28" s="21">
        <v>3</v>
      </c>
      <c r="J28" s="21">
        <v>3</v>
      </c>
      <c r="K28" s="21"/>
      <c r="L28" s="14">
        <f t="shared" si="1"/>
        <v>1759.0138366849021</v>
      </c>
      <c r="M28" s="14">
        <f t="shared" si="7"/>
        <v>851.08984880211278</v>
      </c>
      <c r="N28" s="14">
        <f t="shared" si="8"/>
        <v>1919.2430483870965</v>
      </c>
      <c r="O28" s="14"/>
      <c r="P28" s="14">
        <f t="shared" si="5"/>
        <v>5.28</v>
      </c>
      <c r="Q28" s="14">
        <f t="shared" si="4"/>
        <v>2.5499999999999998</v>
      </c>
      <c r="R28" s="14">
        <f t="shared" si="6"/>
        <v>5.85</v>
      </c>
      <c r="S28" s="14"/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21">
        <f>IF(H29=0,0,VLOOKUP(L29/H29,坦克升星消耗!$H$2:$J$8,3,TRUE))</f>
        <v>6</v>
      </c>
      <c r="E29" s="21">
        <f>IF(I29=0,0,VLOOKUP(M29/I29,坦克升星消耗!$H$9:$J$17,3,TRUE))</f>
        <v>8</v>
      </c>
      <c r="F29" s="21">
        <f>IF(J29=0,0,VLOOKUP(N29/J29,坦克升星消耗!$H$26:$J$36,3,TRUE))</f>
        <v>10</v>
      </c>
      <c r="G29" s="21"/>
      <c r="H29" s="21">
        <v>3</v>
      </c>
      <c r="I29" s="21">
        <v>3</v>
      </c>
      <c r="J29" s="21">
        <v>3</v>
      </c>
      <c r="K29" s="21"/>
      <c r="L29" s="14">
        <f t="shared" si="1"/>
        <v>1915.3018366849021</v>
      </c>
      <c r="M29" s="14">
        <f t="shared" si="7"/>
        <v>926.5698488021128</v>
      </c>
      <c r="N29" s="14">
        <f t="shared" si="8"/>
        <v>2092.4030483870965</v>
      </c>
      <c r="O29" s="14"/>
      <c r="P29" s="14">
        <f t="shared" si="5"/>
        <v>5.28</v>
      </c>
      <c r="Q29" s="14">
        <f t="shared" si="4"/>
        <v>2.5499999999999998</v>
      </c>
      <c r="R29" s="14">
        <f t="shared" si="6"/>
        <v>5.85</v>
      </c>
      <c r="S29" s="14"/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21">
        <f>IF(H30=0,0,VLOOKUP(L30/H30,坦克升星消耗!$H$2:$J$8,3,TRUE))</f>
        <v>6</v>
      </c>
      <c r="E30" s="21">
        <f>IF(I30=0,0,VLOOKUP(M30/I30,坦克升星消耗!$H$9:$J$17,3,TRUE))</f>
        <v>8</v>
      </c>
      <c r="F30" s="21">
        <f>IF(J30=0,0,VLOOKUP(N30/J30,坦克升星消耗!$H$26:$J$36,3,TRUE))</f>
        <v>10</v>
      </c>
      <c r="G30" s="21"/>
      <c r="H30" s="21">
        <v>3</v>
      </c>
      <c r="I30" s="21">
        <v>3</v>
      </c>
      <c r="J30" s="21">
        <v>3</v>
      </c>
      <c r="K30" s="21"/>
      <c r="L30" s="14">
        <f t="shared" si="1"/>
        <v>2092.7098366849023</v>
      </c>
      <c r="M30" s="14">
        <f t="shared" si="7"/>
        <v>1012.2498488021128</v>
      </c>
      <c r="N30" s="14">
        <f t="shared" si="8"/>
        <v>2288.9630483870965</v>
      </c>
      <c r="O30" s="14"/>
      <c r="P30" s="14">
        <f t="shared" si="5"/>
        <v>5.28</v>
      </c>
      <c r="Q30" s="14">
        <f t="shared" si="4"/>
        <v>2.5499999999999998</v>
      </c>
      <c r="R30" s="14">
        <f t="shared" si="6"/>
        <v>5.85</v>
      </c>
      <c r="S30" s="14"/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21">
        <f>IF(H31=0,0,VLOOKUP(L31/H31,坦克升星消耗!$H$2:$J$8,3,TRUE))</f>
        <v>6</v>
      </c>
      <c r="E31" s="21">
        <f>IF(I31=0,0,VLOOKUP(M31/I31,坦克升星消耗!$H$9:$J$17,3,TRUE))</f>
        <v>8</v>
      </c>
      <c r="F31" s="21">
        <f>IF(J31=0,0,VLOOKUP(N31/J31,坦克升星消耗!$H$26:$J$36,3,TRUE))</f>
        <v>10</v>
      </c>
      <c r="G31" s="21"/>
      <c r="H31" s="21">
        <v>3</v>
      </c>
      <c r="I31" s="21">
        <v>3</v>
      </c>
      <c r="J31" s="21">
        <v>3</v>
      </c>
      <c r="K31" s="21"/>
      <c r="L31" s="14">
        <f t="shared" si="1"/>
        <v>2283.8458366849022</v>
      </c>
      <c r="M31" s="14">
        <f t="shared" si="7"/>
        <v>1104.5598488021128</v>
      </c>
      <c r="N31" s="14">
        <f t="shared" si="8"/>
        <v>2500.7330483870965</v>
      </c>
      <c r="O31" s="14"/>
      <c r="P31" s="14">
        <f t="shared" si="5"/>
        <v>5.28</v>
      </c>
      <c r="Q31" s="14">
        <f t="shared" si="4"/>
        <v>2.5499999999999998</v>
      </c>
      <c r="R31" s="14">
        <f t="shared" si="6"/>
        <v>5.85</v>
      </c>
      <c r="S31" s="14"/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21">
        <f>IF(H32=0,0,VLOOKUP(L32/H32,坦克升星消耗!$H$2:$J$8,3,TRUE))</f>
        <v>6</v>
      </c>
      <c r="E32" s="21">
        <f>IF(I32=0,0,VLOOKUP(M32/I32,坦克升星消耗!$H$9:$J$17,3,TRUE))</f>
        <v>8</v>
      </c>
      <c r="F32" s="21">
        <f>IF(J32=0,0,VLOOKUP(N32/J32,坦克升星消耗!$H$26:$J$36,3,TRUE))</f>
        <v>10</v>
      </c>
      <c r="G32" s="21"/>
      <c r="H32" s="21">
        <v>3</v>
      </c>
      <c r="I32" s="21">
        <v>3</v>
      </c>
      <c r="J32" s="21">
        <v>3</v>
      </c>
      <c r="K32" s="21"/>
      <c r="L32" s="14">
        <f t="shared" si="1"/>
        <v>2488.7098366849023</v>
      </c>
      <c r="M32" s="14">
        <f t="shared" si="7"/>
        <v>1203.4998488021129</v>
      </c>
      <c r="N32" s="14">
        <f t="shared" si="8"/>
        <v>2727.7130483870965</v>
      </c>
      <c r="O32" s="14"/>
      <c r="P32" s="14">
        <f t="shared" si="5"/>
        <v>5.28</v>
      </c>
      <c r="Q32" s="14">
        <f t="shared" si="4"/>
        <v>2.5499999999999998</v>
      </c>
      <c r="R32" s="14">
        <f t="shared" si="6"/>
        <v>5.85</v>
      </c>
      <c r="S32" s="14"/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21">
        <f>IF(H33=0,0,VLOOKUP(L33/H33,坦克升星消耗!$H$2:$J$8,3,TRUE))</f>
        <v>6</v>
      </c>
      <c r="E33" s="21">
        <f>IF(I33=0,0,VLOOKUP(M33/I33,坦克升星消耗!$H$9:$J$17,3,TRUE))</f>
        <v>8</v>
      </c>
      <c r="F33" s="21">
        <f>IF(J33=0,0,VLOOKUP(N33/J33,坦克升星消耗!$H$26:$J$36,3,TRUE))</f>
        <v>10</v>
      </c>
      <c r="G33" s="21"/>
      <c r="H33" s="21">
        <v>3</v>
      </c>
      <c r="I33" s="21">
        <v>3</v>
      </c>
      <c r="J33" s="21">
        <v>3</v>
      </c>
      <c r="K33" s="21"/>
      <c r="L33" s="14">
        <f t="shared" si="1"/>
        <v>2707.3018366849024</v>
      </c>
      <c r="M33" s="14">
        <f t="shared" si="7"/>
        <v>1309.0698488021128</v>
      </c>
      <c r="N33" s="14">
        <f t="shared" si="8"/>
        <v>2969.9030483870965</v>
      </c>
      <c r="O33" s="14"/>
      <c r="P33" s="14">
        <f t="shared" si="5"/>
        <v>5.28</v>
      </c>
      <c r="Q33" s="14">
        <f t="shared" si="4"/>
        <v>2.5499999999999998</v>
      </c>
      <c r="R33" s="14">
        <f t="shared" si="6"/>
        <v>5.85</v>
      </c>
      <c r="S33" s="14"/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21">
        <f>IF(H34=0,0,VLOOKUP(L34/H34,坦克升星消耗!$H$2:$J$8,3,TRUE))</f>
        <v>6</v>
      </c>
      <c r="E34" s="21">
        <f>IF(I34=0,0,VLOOKUP(M34/I34,坦克升星消耗!$H$9:$J$17,3,TRUE))</f>
        <v>8</v>
      </c>
      <c r="F34" s="21">
        <f>IF(J34=0,0,VLOOKUP(N34/J34,坦克升星消耗!$H$26:$J$36,3,TRUE))</f>
        <v>10</v>
      </c>
      <c r="G34" s="21"/>
      <c r="H34" s="21">
        <v>3</v>
      </c>
      <c r="I34" s="21">
        <v>3</v>
      </c>
      <c r="J34" s="21">
        <v>3</v>
      </c>
      <c r="K34" s="21"/>
      <c r="L34" s="14">
        <f t="shared" si="1"/>
        <v>2939.6218366849025</v>
      </c>
      <c r="M34" s="14">
        <f t="shared" si="7"/>
        <v>1421.2698488021128</v>
      </c>
      <c r="N34" s="14">
        <f t="shared" si="8"/>
        <v>3227.3030483870966</v>
      </c>
      <c r="O34" s="14"/>
      <c r="P34" s="14">
        <f t="shared" si="5"/>
        <v>5.28</v>
      </c>
      <c r="Q34" s="14">
        <f t="shared" si="4"/>
        <v>2.5499999999999998</v>
      </c>
      <c r="R34" s="14">
        <f t="shared" si="6"/>
        <v>5.85</v>
      </c>
      <c r="S34" s="14"/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21">
        <f>IF(H35=0,0,VLOOKUP(L35/H35,坦克升星消耗!$H$2:$J$8,3,TRUE))</f>
        <v>6</v>
      </c>
      <c r="E35" s="21">
        <f>IF(I35=0,0,VLOOKUP(M35/I35,坦克升星消耗!$H$9:$J$17,3,TRUE))</f>
        <v>8</v>
      </c>
      <c r="F35" s="21">
        <f>IF(J35=0,0,VLOOKUP(N35/J35,坦克升星消耗!$H$26:$J$36,3,TRUE))</f>
        <v>10</v>
      </c>
      <c r="G35" s="21"/>
      <c r="H35" s="21">
        <v>3</v>
      </c>
      <c r="I35" s="21">
        <v>3</v>
      </c>
      <c r="J35" s="21">
        <v>3</v>
      </c>
      <c r="K35" s="21"/>
      <c r="L35" s="14">
        <f t="shared" si="1"/>
        <v>3185.6698366849023</v>
      </c>
      <c r="M35" s="14">
        <f t="shared" si="7"/>
        <v>1540.0998488021128</v>
      </c>
      <c r="N35" s="14">
        <f t="shared" si="8"/>
        <v>3499.9130483870968</v>
      </c>
      <c r="O35" s="14"/>
      <c r="P35" s="14">
        <f t="shared" si="5"/>
        <v>5.28</v>
      </c>
      <c r="Q35" s="14">
        <f t="shared" si="4"/>
        <v>2.5499999999999998</v>
      </c>
      <c r="R35" s="14">
        <f t="shared" si="6"/>
        <v>5.85</v>
      </c>
      <c r="S35" s="14"/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21">
        <f>IF(H36=0,0,VLOOKUP(L36/H36,坦克升星消耗!$H$2:$J$8,3,TRUE))</f>
        <v>6</v>
      </c>
      <c r="E36" s="21">
        <f>IF(I36=0,0,VLOOKUP(M36/I36,坦克升星消耗!$H$9:$J$17,3,TRUE))</f>
        <v>8</v>
      </c>
      <c r="F36" s="21">
        <f>IF(J36=0,0,VLOOKUP(N36/J36,坦克升星消耗!$H$26:$J$36,3,TRUE))</f>
        <v>10</v>
      </c>
      <c r="G36" s="21"/>
      <c r="H36" s="21">
        <v>3</v>
      </c>
      <c r="I36" s="21">
        <v>3</v>
      </c>
      <c r="J36" s="21">
        <v>3</v>
      </c>
      <c r="K36" s="21"/>
      <c r="L36" s="14">
        <f t="shared" si="1"/>
        <v>3445.4458366849021</v>
      </c>
      <c r="M36" s="14">
        <f t="shared" si="7"/>
        <v>1665.5598488021128</v>
      </c>
      <c r="N36" s="14">
        <f t="shared" si="8"/>
        <v>3787.7330483870969</v>
      </c>
      <c r="O36" s="14"/>
      <c r="P36" s="14">
        <f t="shared" si="5"/>
        <v>5.28</v>
      </c>
      <c r="Q36" s="14">
        <f t="shared" si="4"/>
        <v>2.5499999999999998</v>
      </c>
      <c r="R36" s="14">
        <f t="shared" si="6"/>
        <v>5.85</v>
      </c>
      <c r="S36" s="14"/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21">
        <f>IF(H37=0,0,VLOOKUP(L37/H37,坦克升星消耗!$H$2:$J$8,3,TRUE))</f>
        <v>6</v>
      </c>
      <c r="E37" s="21">
        <f>IF(I37=0,0,VLOOKUP(M37/I37,坦克升星消耗!$H$9:$J$17,3,TRUE))</f>
        <v>8</v>
      </c>
      <c r="F37" s="21">
        <f>IF(J37=0,0,VLOOKUP(N37/J37,坦克升星消耗!$H$26:$J$36,3,TRUE))</f>
        <v>10</v>
      </c>
      <c r="G37" s="21"/>
      <c r="H37" s="21">
        <v>3</v>
      </c>
      <c r="I37" s="21">
        <v>3</v>
      </c>
      <c r="J37" s="21">
        <v>3</v>
      </c>
      <c r="K37" s="21"/>
      <c r="L37" s="14">
        <f t="shared" si="1"/>
        <v>3718.949836684902</v>
      </c>
      <c r="M37" s="14">
        <f t="shared" si="7"/>
        <v>1797.6498488021127</v>
      </c>
      <c r="N37" s="14">
        <f t="shared" si="8"/>
        <v>4090.7630483870971</v>
      </c>
      <c r="O37" s="14"/>
      <c r="P37" s="14">
        <f t="shared" si="5"/>
        <v>5.28</v>
      </c>
      <c r="Q37" s="14">
        <f t="shared" si="4"/>
        <v>2.5499999999999998</v>
      </c>
      <c r="R37" s="14">
        <f t="shared" si="6"/>
        <v>5.85</v>
      </c>
      <c r="S37" s="14"/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21">
        <f>IF(H38=0,0,VLOOKUP(L38/H38,坦克升星消耗!$H$2:$J$8,3,TRUE))</f>
        <v>6</v>
      </c>
      <c r="E38" s="21">
        <f>IF(I38=0,0,VLOOKUP(M38/I38,坦克升星消耗!$H$9:$J$17,3,TRUE))</f>
        <v>8</v>
      </c>
      <c r="F38" s="21">
        <f>IF(J38=0,0,VLOOKUP(N38/J38,坦克升星消耗!$H$26:$J$36,3,TRUE))</f>
        <v>10</v>
      </c>
      <c r="G38" s="21"/>
      <c r="H38" s="21">
        <v>3</v>
      </c>
      <c r="I38" s="21">
        <v>3</v>
      </c>
      <c r="J38" s="21">
        <v>3</v>
      </c>
      <c r="K38" s="21"/>
      <c r="L38" s="14">
        <f t="shared" si="1"/>
        <v>4006.181836684902</v>
      </c>
      <c r="M38" s="14">
        <f t="shared" si="7"/>
        <v>1936.3698488021128</v>
      </c>
      <c r="N38" s="14">
        <f t="shared" si="8"/>
        <v>4409.0030483870969</v>
      </c>
      <c r="O38" s="14"/>
      <c r="P38" s="14">
        <f t="shared" si="5"/>
        <v>5.28</v>
      </c>
      <c r="Q38" s="14">
        <f t="shared" si="4"/>
        <v>2.5499999999999998</v>
      </c>
      <c r="R38" s="14">
        <f t="shared" si="6"/>
        <v>5.85</v>
      </c>
      <c r="S38" s="14"/>
    </row>
  </sheetData>
  <phoneticPr fontId="1" type="noConversion"/>
  <conditionalFormatting sqref="D2:G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{2F04449F-0088-445D-A5B7-1A195D7DCC65}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449F-0088-445D-A5B7-1A195D7DC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D2:G38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FDA-1AD6-457F-A3C6-2F8AC2D93E34}">
  <dimension ref="A1:AC38"/>
  <sheetViews>
    <sheetView zoomScale="120" zoomScaleNormal="120" workbookViewId="0">
      <selection activeCell="H11" sqref="H11"/>
    </sheetView>
  </sheetViews>
  <sheetFormatPr defaultColWidth="8.875" defaultRowHeight="14.25" x14ac:dyDescent="0.2"/>
  <cols>
    <col min="2" max="2" width="11.625" bestFit="1" customWidth="1"/>
    <col min="3" max="3" width="16" bestFit="1" customWidth="1"/>
    <col min="4" max="15" width="11.125" bestFit="1" customWidth="1"/>
    <col min="16" max="19" width="15.375" bestFit="1" customWidth="1"/>
    <col min="25" max="25" width="16" bestFit="1" customWidth="1"/>
    <col min="26" max="27" width="11.125" bestFit="1" customWidth="1"/>
    <col min="28" max="28" width="11.125" customWidth="1"/>
    <col min="29" max="29" width="15.125" bestFit="1" customWidth="1"/>
  </cols>
  <sheetData>
    <row r="1" spans="1:29" x14ac:dyDescent="0.2">
      <c r="A1" s="24" t="s">
        <v>10</v>
      </c>
      <c r="B1" s="24" t="s">
        <v>888</v>
      </c>
      <c r="C1" s="24" t="s">
        <v>896</v>
      </c>
      <c r="D1" s="24" t="s">
        <v>893</v>
      </c>
      <c r="E1" s="24" t="s">
        <v>894</v>
      </c>
      <c r="F1" s="24" t="s">
        <v>895</v>
      </c>
      <c r="G1" s="24" t="s">
        <v>1078</v>
      </c>
      <c r="H1" s="24" t="s">
        <v>1085</v>
      </c>
      <c r="I1" s="24" t="s">
        <v>1086</v>
      </c>
      <c r="J1" s="24" t="s">
        <v>1087</v>
      </c>
      <c r="K1" s="24" t="s">
        <v>1088</v>
      </c>
      <c r="L1" s="24" t="s">
        <v>1089</v>
      </c>
      <c r="M1" s="24" t="s">
        <v>1090</v>
      </c>
      <c r="N1" s="24" t="s">
        <v>1091</v>
      </c>
      <c r="O1" s="24" t="s">
        <v>1092</v>
      </c>
      <c r="P1" s="24" t="s">
        <v>1093</v>
      </c>
      <c r="Q1" s="24" t="s">
        <v>1094</v>
      </c>
      <c r="R1" s="24" t="s">
        <v>1095</v>
      </c>
      <c r="S1" s="24" t="s">
        <v>1096</v>
      </c>
      <c r="U1" s="24" t="s">
        <v>914</v>
      </c>
      <c r="V1" s="24" t="s">
        <v>915</v>
      </c>
      <c r="W1" s="24" t="s">
        <v>916</v>
      </c>
      <c r="X1" s="30" t="s">
        <v>984</v>
      </c>
      <c r="Y1" s="24" t="s">
        <v>910</v>
      </c>
      <c r="Z1" s="2" t="s">
        <v>983</v>
      </c>
      <c r="AA1" s="2" t="s">
        <v>982</v>
      </c>
      <c r="AB1" s="2" t="s">
        <v>1098</v>
      </c>
      <c r="AC1" s="24" t="s">
        <v>942</v>
      </c>
    </row>
    <row r="2" spans="1:29" ht="15.75" x14ac:dyDescent="0.3">
      <c r="A2" s="7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3">
        <f>$AC$2</f>
        <v>2.4</v>
      </c>
      <c r="Q2" s="3">
        <f>$AC$3</f>
        <v>0.96000000000000008</v>
      </c>
      <c r="R2" s="3">
        <f>$AC$4</f>
        <v>0.504</v>
      </c>
      <c r="S2" s="3">
        <f>$AC$5</f>
        <v>0</v>
      </c>
      <c r="U2" s="3" t="s">
        <v>907</v>
      </c>
      <c r="V2" s="3">
        <v>8</v>
      </c>
      <c r="W2" s="3">
        <v>18</v>
      </c>
      <c r="X2" s="5">
        <v>3</v>
      </c>
      <c r="Y2" s="12">
        <v>60</v>
      </c>
      <c r="Z2" s="3">
        <v>0</v>
      </c>
      <c r="AA2" s="3">
        <v>0</v>
      </c>
      <c r="AB2" s="3">
        <v>0</v>
      </c>
      <c r="AC2" s="3">
        <f>(V2*W2)*(1-Z2-AA2)/Y2</f>
        <v>2.4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3">
        <f>IF(H3=0,0,VLOOKUP(L3/H3,部件升星消耗!$E$2:$F$4,2,TRUE))</f>
        <v>1</v>
      </c>
      <c r="E3" s="3">
        <f>IF(I3=0,0,VLOOKUP(M3/I3,部件升星消耗!$E$5:$F$7,2,TRUE))</f>
        <v>0</v>
      </c>
      <c r="F3" s="3">
        <f>IF(J3=0,0,VLOOKUP(N3/J3,部件升星消耗!$E$8:$F$10,2,TRUE))</f>
        <v>0</v>
      </c>
      <c r="G3" s="3">
        <f>IF(K3=0,0,VLOOKUP(O3/K3,部件升星消耗!$E$11:$F$13,2,TRUE))</f>
        <v>0</v>
      </c>
      <c r="H3" s="3">
        <f>IF(L3&lt;18,ROUNDDOWN(L3,0),18)</f>
        <v>1</v>
      </c>
      <c r="I3" s="3">
        <f t="shared" ref="I3:K3" si="0">IF(M3&lt;18,ROUNDDOWN(M3,0),18)</f>
        <v>0</v>
      </c>
      <c r="J3" s="3">
        <f t="shared" si="0"/>
        <v>0</v>
      </c>
      <c r="K3" s="3">
        <f t="shared" si="0"/>
        <v>0</v>
      </c>
      <c r="L3" s="3">
        <f>P3*$B3+L2</f>
        <v>1.92</v>
      </c>
      <c r="M3" s="3">
        <f t="shared" ref="M3:O3" si="1">Q3*$B3+M2</f>
        <v>0.76800000000000013</v>
      </c>
      <c r="N3" s="3">
        <f t="shared" si="1"/>
        <v>0.4032</v>
      </c>
      <c r="O3" s="3">
        <f t="shared" si="1"/>
        <v>0</v>
      </c>
      <c r="P3" s="3">
        <f t="shared" ref="P3:P38" si="2">$AC$2</f>
        <v>2.4</v>
      </c>
      <c r="Q3" s="3">
        <f t="shared" ref="Q3:Q38" si="3">$AC$3</f>
        <v>0.96000000000000008</v>
      </c>
      <c r="R3" s="3">
        <f t="shared" ref="R3:R38" si="4">$AC$4</f>
        <v>0.504</v>
      </c>
      <c r="S3" s="3">
        <f t="shared" ref="S3:S38" si="5">$AC$5</f>
        <v>0</v>
      </c>
      <c r="U3" s="3" t="s">
        <v>908</v>
      </c>
      <c r="V3" s="3">
        <v>8</v>
      </c>
      <c r="W3" s="3">
        <v>18</v>
      </c>
      <c r="X3" s="5">
        <v>3</v>
      </c>
      <c r="Y3" s="12">
        <v>120</v>
      </c>
      <c r="Z3" s="3">
        <v>0.2</v>
      </c>
      <c r="AA3" s="3">
        <v>0</v>
      </c>
      <c r="AB3" s="3">
        <v>0</v>
      </c>
      <c r="AC3" s="3">
        <f>(V3*W3)*(1-Z3-AA3)/Y3</f>
        <v>0.96000000000000008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3">
        <f>IF(H4=0,0,VLOOKUP(L4/H4,部件升星消耗!$E$2:$F$4,2,TRUE))</f>
        <v>1</v>
      </c>
      <c r="E4" s="3">
        <f>IF(I4=0,0,VLOOKUP(M4/I4,部件升星消耗!$E$5:$F$7,2,TRUE))</f>
        <v>2</v>
      </c>
      <c r="F4" s="3">
        <f>IF(J4=0,0,VLOOKUP(N4/J4,部件升星消耗!$E$8:$F$10,2,TRUE))</f>
        <v>3</v>
      </c>
      <c r="G4" s="3">
        <f>IF(K4=0,0,VLOOKUP(O4/K4,部件升星消耗!$E$11:$F$13,2,TRUE))</f>
        <v>0</v>
      </c>
      <c r="H4" s="3">
        <f t="shared" ref="H4:H38" si="6">IF(L4&lt;18,ROUNDDOWN(L4,0),18)</f>
        <v>5</v>
      </c>
      <c r="I4" s="3">
        <f t="shared" ref="I4:I38" si="7">IF(M4&lt;18,ROUNDDOWN(M4,0),18)</f>
        <v>2</v>
      </c>
      <c r="J4" s="3">
        <f t="shared" ref="J4:J38" si="8">IF(N4&lt;18,ROUNDDOWN(N4,0),18)</f>
        <v>1</v>
      </c>
      <c r="K4" s="3">
        <f t="shared" ref="K4:K38" si="9">IF(O4&lt;18,ROUNDDOWN(O4,0),18)</f>
        <v>0</v>
      </c>
      <c r="L4" s="3">
        <f t="shared" ref="L4:L38" si="10">P4*$B4+L3</f>
        <v>5.4755555555555553</v>
      </c>
      <c r="M4" s="3">
        <f t="shared" ref="M4:M38" si="11">Q4*$B4+M3</f>
        <v>2.1902222222222223</v>
      </c>
      <c r="N4" s="3">
        <f t="shared" ref="N4:N38" si="12">R4*$B4+N3</f>
        <v>1.1498666666666666</v>
      </c>
      <c r="O4" s="3">
        <f t="shared" ref="O4:O38" si="13">S4*$B4+O3</f>
        <v>0</v>
      </c>
      <c r="P4" s="3">
        <f t="shared" si="2"/>
        <v>2.4</v>
      </c>
      <c r="Q4" s="3">
        <f t="shared" si="3"/>
        <v>0.96000000000000008</v>
      </c>
      <c r="R4" s="3">
        <f t="shared" si="4"/>
        <v>0.504</v>
      </c>
      <c r="S4" s="3">
        <f t="shared" si="5"/>
        <v>0</v>
      </c>
      <c r="U4" s="3" t="s">
        <v>144</v>
      </c>
      <c r="V4" s="3">
        <v>8</v>
      </c>
      <c r="W4" s="3">
        <v>18</v>
      </c>
      <c r="X4" s="5">
        <v>3</v>
      </c>
      <c r="Y4" s="12">
        <v>200</v>
      </c>
      <c r="Z4" s="3">
        <v>0.2</v>
      </c>
      <c r="AA4" s="3">
        <v>0.1</v>
      </c>
      <c r="AB4" s="3">
        <v>0</v>
      </c>
      <c r="AC4" s="3">
        <f>(V4*W4)*(1-Z4-AA4)/Y4</f>
        <v>0.504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3">
        <f>IF(H5=0,0,VLOOKUP(L5/H5,部件升星消耗!$E$2:$F$4,2,TRUE))</f>
        <v>1</v>
      </c>
      <c r="E5" s="3">
        <f>IF(I5=0,0,VLOOKUP(M5/I5,部件升星消耗!$E$5:$F$7,2,TRUE))</f>
        <v>2</v>
      </c>
      <c r="F5" s="3">
        <f>IF(J5=0,0,VLOOKUP(N5/J5,部件升星消耗!$E$8:$F$10,2,TRUE))</f>
        <v>3</v>
      </c>
      <c r="G5" s="3">
        <f>IF(K5=0,0,VLOOKUP(O5/K5,部件升星消耗!$E$11:$F$13,2,TRUE))</f>
        <v>0</v>
      </c>
      <c r="H5" s="3">
        <f t="shared" si="6"/>
        <v>8</v>
      </c>
      <c r="I5" s="3">
        <f t="shared" si="7"/>
        <v>3</v>
      </c>
      <c r="J5" s="3">
        <f t="shared" si="8"/>
        <v>1</v>
      </c>
      <c r="K5" s="3">
        <f t="shared" si="9"/>
        <v>0</v>
      </c>
      <c r="L5" s="3">
        <f t="shared" si="10"/>
        <v>8.843976608187134</v>
      </c>
      <c r="M5" s="3">
        <f t="shared" si="11"/>
        <v>3.5375906432748536</v>
      </c>
      <c r="N5" s="3">
        <f t="shared" si="12"/>
        <v>1.8572350877192982</v>
      </c>
      <c r="O5" s="3">
        <f t="shared" si="13"/>
        <v>0</v>
      </c>
      <c r="P5" s="3">
        <f t="shared" si="2"/>
        <v>2.4</v>
      </c>
      <c r="Q5" s="3">
        <f t="shared" si="3"/>
        <v>0.96000000000000008</v>
      </c>
      <c r="R5" s="3">
        <f t="shared" si="4"/>
        <v>0.504</v>
      </c>
      <c r="S5" s="3">
        <f t="shared" si="5"/>
        <v>0</v>
      </c>
      <c r="U5" s="3" t="s">
        <v>152</v>
      </c>
      <c r="V5" s="3">
        <v>8</v>
      </c>
      <c r="W5" s="3">
        <v>18</v>
      </c>
      <c r="X5" s="3">
        <v>3</v>
      </c>
      <c r="Y5" s="12">
        <v>400</v>
      </c>
      <c r="Z5" s="3"/>
      <c r="AA5" s="3"/>
      <c r="AB5" s="3"/>
      <c r="AC5" s="3"/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3">
        <f>IF(H6=0,0,VLOOKUP(L6/H6,部件升星消耗!$E$2:$F$4,2,TRUE))</f>
        <v>1</v>
      </c>
      <c r="E6" s="3">
        <f>IF(I6=0,0,VLOOKUP(M6/I6,部件升星消耗!$E$5:$F$7,2,TRUE))</f>
        <v>2</v>
      </c>
      <c r="F6" s="3">
        <f>IF(J6=0,0,VLOOKUP(N6/J6,部件升星消耗!$E$8:$F$10,2,TRUE))</f>
        <v>3</v>
      </c>
      <c r="G6" s="3">
        <f>IF(K6=0,0,VLOOKUP(O6/K6,部件升星消耗!$E$11:$F$13,2,TRUE))</f>
        <v>0</v>
      </c>
      <c r="H6" s="3">
        <f t="shared" si="6"/>
        <v>13</v>
      </c>
      <c r="I6" s="3">
        <f t="shared" si="7"/>
        <v>5</v>
      </c>
      <c r="J6" s="3">
        <f t="shared" si="8"/>
        <v>2</v>
      </c>
      <c r="K6" s="3">
        <f t="shared" si="9"/>
        <v>0</v>
      </c>
      <c r="L6" s="3">
        <f t="shared" si="10"/>
        <v>13.643976608187135</v>
      </c>
      <c r="M6" s="3">
        <f t="shared" si="11"/>
        <v>5.4575906432748535</v>
      </c>
      <c r="N6" s="3">
        <f t="shared" si="12"/>
        <v>2.8652350877192982</v>
      </c>
      <c r="O6" s="3">
        <f t="shared" si="13"/>
        <v>0</v>
      </c>
      <c r="P6" s="3">
        <f t="shared" si="2"/>
        <v>2.4</v>
      </c>
      <c r="Q6" s="3">
        <f t="shared" si="3"/>
        <v>0.96000000000000008</v>
      </c>
      <c r="R6" s="3">
        <f t="shared" si="4"/>
        <v>0.504</v>
      </c>
      <c r="S6" s="3">
        <f t="shared" si="5"/>
        <v>0</v>
      </c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3">
        <f>IF(H7=0,0,VLOOKUP(L7/H7,部件升星消耗!$E$2:$F$4,2,TRUE))</f>
        <v>1</v>
      </c>
      <c r="E7" s="3">
        <f>IF(I7=0,0,VLOOKUP(M7/I7,部件升星消耗!$E$5:$F$7,2,TRUE))</f>
        <v>2</v>
      </c>
      <c r="F7" s="3">
        <f>IF(J7=0,0,VLOOKUP(N7/J7,部件升星消耗!$E$8:$F$10,2,TRUE))</f>
        <v>3</v>
      </c>
      <c r="G7" s="3">
        <f>IF(K7=0,0,VLOOKUP(O7/K7,部件升星消耗!$E$11:$F$13,2,TRUE))</f>
        <v>0</v>
      </c>
      <c r="H7" s="3">
        <f t="shared" si="6"/>
        <v>18</v>
      </c>
      <c r="I7" s="3">
        <f t="shared" si="7"/>
        <v>9</v>
      </c>
      <c r="J7" s="3">
        <f t="shared" si="8"/>
        <v>5</v>
      </c>
      <c r="K7" s="3">
        <f t="shared" si="9"/>
        <v>0</v>
      </c>
      <c r="L7" s="3">
        <f t="shared" si="10"/>
        <v>24.310643274853803</v>
      </c>
      <c r="M7" s="3">
        <f t="shared" si="11"/>
        <v>9.724257309941521</v>
      </c>
      <c r="N7" s="3">
        <f t="shared" si="12"/>
        <v>5.1052350877192989</v>
      </c>
      <c r="O7" s="3">
        <f t="shared" si="13"/>
        <v>0</v>
      </c>
      <c r="P7" s="3">
        <f t="shared" si="2"/>
        <v>2.4</v>
      </c>
      <c r="Q7" s="3">
        <f t="shared" si="3"/>
        <v>0.96000000000000008</v>
      </c>
      <c r="R7" s="3">
        <f t="shared" si="4"/>
        <v>0.504</v>
      </c>
      <c r="S7" s="3">
        <f t="shared" si="5"/>
        <v>0</v>
      </c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3">
        <f>IF(H8=0,0,VLOOKUP(L8/H8,部件升星消耗!$E$2:$F$4,2,TRUE))</f>
        <v>2</v>
      </c>
      <c r="E8" s="3">
        <f>IF(I8=0,0,VLOOKUP(M8/I8,部件升星消耗!$E$5:$F$7,2,TRUE))</f>
        <v>2</v>
      </c>
      <c r="F8" s="3">
        <f>IF(J8=0,0,VLOOKUP(N8/J8,部件升星消耗!$E$8:$F$10,2,TRUE))</f>
        <v>3</v>
      </c>
      <c r="G8" s="3">
        <f>IF(K8=0,0,VLOOKUP(O8/K8,部件升星消耗!$E$11:$F$13,2,TRUE))</f>
        <v>0</v>
      </c>
      <c r="H8" s="3">
        <f t="shared" si="6"/>
        <v>18</v>
      </c>
      <c r="I8" s="3">
        <f t="shared" si="7"/>
        <v>14</v>
      </c>
      <c r="J8" s="3">
        <f t="shared" si="8"/>
        <v>7</v>
      </c>
      <c r="K8" s="3">
        <f t="shared" si="9"/>
        <v>0</v>
      </c>
      <c r="L8" s="3">
        <f t="shared" si="10"/>
        <v>37.1106432748538</v>
      </c>
      <c r="M8" s="3">
        <f t="shared" si="11"/>
        <v>14.844257309941522</v>
      </c>
      <c r="N8" s="3">
        <f t="shared" si="12"/>
        <v>7.7932350877192986</v>
      </c>
      <c r="O8" s="3">
        <f t="shared" si="13"/>
        <v>0</v>
      </c>
      <c r="P8" s="3">
        <f t="shared" si="2"/>
        <v>2.4</v>
      </c>
      <c r="Q8" s="3">
        <f t="shared" si="3"/>
        <v>0.96000000000000008</v>
      </c>
      <c r="R8" s="3">
        <f t="shared" si="4"/>
        <v>0.504</v>
      </c>
      <c r="S8" s="3">
        <f t="shared" si="5"/>
        <v>0</v>
      </c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3">
        <f>IF(H9=0,0,VLOOKUP(L9/H9,部件升星消耗!$E$2:$F$4,2,TRUE))</f>
        <v>2</v>
      </c>
      <c r="E9" s="3">
        <f>IF(I9=0,0,VLOOKUP(M9/I9,部件升星消耗!$E$5:$F$7,2,TRUE))</f>
        <v>2</v>
      </c>
      <c r="F9" s="3">
        <f>IF(J9=0,0,VLOOKUP(N9/J9,部件升星消耗!$E$8:$F$10,2,TRUE))</f>
        <v>3</v>
      </c>
      <c r="G9" s="3">
        <f>IF(K9=0,0,VLOOKUP(O9/K9,部件升星消耗!$E$11:$F$13,2,TRUE))</f>
        <v>0</v>
      </c>
      <c r="H9" s="3">
        <f t="shared" si="6"/>
        <v>18</v>
      </c>
      <c r="I9" s="3">
        <f t="shared" si="7"/>
        <v>18</v>
      </c>
      <c r="J9" s="3">
        <f t="shared" si="8"/>
        <v>10</v>
      </c>
      <c r="K9" s="3">
        <f t="shared" si="9"/>
        <v>0</v>
      </c>
      <c r="L9" s="3">
        <f t="shared" si="10"/>
        <v>49.497740049047351</v>
      </c>
      <c r="M9" s="3">
        <f t="shared" si="11"/>
        <v>19.799096019618943</v>
      </c>
      <c r="N9" s="3">
        <f t="shared" si="12"/>
        <v>10.394525410299943</v>
      </c>
      <c r="O9" s="3">
        <f t="shared" si="13"/>
        <v>0</v>
      </c>
      <c r="P9" s="3">
        <f t="shared" si="2"/>
        <v>2.4</v>
      </c>
      <c r="Q9" s="3">
        <f t="shared" si="3"/>
        <v>0.96000000000000008</v>
      </c>
      <c r="R9" s="3">
        <f t="shared" si="4"/>
        <v>0.504</v>
      </c>
      <c r="S9" s="3">
        <f t="shared" si="5"/>
        <v>0</v>
      </c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3">
        <f>IF(H10=0,0,VLOOKUP(L10/H10,部件升星消耗!$E$2:$F$4,2,TRUE))</f>
        <v>2</v>
      </c>
      <c r="E10" s="3">
        <f>IF(I10=0,0,VLOOKUP(M10/I10,部件升星消耗!$E$5:$F$7,2,TRUE))</f>
        <v>2</v>
      </c>
      <c r="F10" s="3">
        <f>IF(J10=0,0,VLOOKUP(N10/J10,部件升星消耗!$E$8:$F$10,2,TRUE))</f>
        <v>3</v>
      </c>
      <c r="G10" s="3">
        <f>IF(K10=0,0,VLOOKUP(O10/K10,部件升星消耗!$E$11:$F$13,2,TRUE))</f>
        <v>0</v>
      </c>
      <c r="H10" s="3">
        <f t="shared" si="6"/>
        <v>18</v>
      </c>
      <c r="I10" s="3">
        <f t="shared" si="7"/>
        <v>18</v>
      </c>
      <c r="J10" s="3">
        <f t="shared" si="8"/>
        <v>13</v>
      </c>
      <c r="K10" s="3">
        <f t="shared" si="9"/>
        <v>0</v>
      </c>
      <c r="L10" s="3">
        <f t="shared" si="10"/>
        <v>65.497740049047351</v>
      </c>
      <c r="M10" s="3">
        <f t="shared" si="11"/>
        <v>26.199096019618942</v>
      </c>
      <c r="N10" s="3">
        <f t="shared" si="12"/>
        <v>13.754525410299944</v>
      </c>
      <c r="O10" s="3">
        <f t="shared" si="13"/>
        <v>0</v>
      </c>
      <c r="P10" s="3">
        <f t="shared" si="2"/>
        <v>2.4</v>
      </c>
      <c r="Q10" s="3">
        <f t="shared" si="3"/>
        <v>0.96000000000000008</v>
      </c>
      <c r="R10" s="3">
        <f t="shared" si="4"/>
        <v>0.504</v>
      </c>
      <c r="S10" s="3">
        <f t="shared" si="5"/>
        <v>0</v>
      </c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3">
        <f>IF(H11=0,0,VLOOKUP(L11/H11,部件升星消耗!$E$2:$F$4,2,TRUE))</f>
        <v>2</v>
      </c>
      <c r="E11" s="3">
        <f>IF(I11=0,0,VLOOKUP(M11/I11,部件升星消耗!$E$5:$F$7,2,TRUE))</f>
        <v>2</v>
      </c>
      <c r="F11" s="3">
        <f>IF(J11=0,0,VLOOKUP(N11/J11,部件升星消耗!$E$8:$F$10,2,TRUE))</f>
        <v>3</v>
      </c>
      <c r="G11" s="3">
        <f>IF(K11=0,0,VLOOKUP(O11/K11,部件升星消耗!$E$11:$F$13,2,TRUE))</f>
        <v>0</v>
      </c>
      <c r="H11" s="3">
        <f t="shared" si="6"/>
        <v>18</v>
      </c>
      <c r="I11" s="3">
        <f t="shared" si="7"/>
        <v>18</v>
      </c>
      <c r="J11" s="3">
        <f t="shared" si="8"/>
        <v>17</v>
      </c>
      <c r="K11" s="3">
        <f t="shared" si="9"/>
        <v>0</v>
      </c>
      <c r="L11" s="3">
        <f t="shared" si="10"/>
        <v>85.177740049047344</v>
      </c>
      <c r="M11" s="3">
        <f t="shared" si="11"/>
        <v>34.071096019618942</v>
      </c>
      <c r="N11" s="3">
        <f t="shared" si="12"/>
        <v>17.887325410299944</v>
      </c>
      <c r="O11" s="3">
        <f t="shared" si="13"/>
        <v>0</v>
      </c>
      <c r="P11" s="3">
        <f t="shared" si="2"/>
        <v>2.4</v>
      </c>
      <c r="Q11" s="3">
        <f t="shared" si="3"/>
        <v>0.96000000000000008</v>
      </c>
      <c r="R11" s="3">
        <f t="shared" si="4"/>
        <v>0.504</v>
      </c>
      <c r="S11" s="3">
        <f t="shared" si="5"/>
        <v>0</v>
      </c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3">
        <f>IF(H12=0,0,VLOOKUP(L12/H12,部件升星消耗!$E$2:$F$4,2,TRUE))</f>
        <v>2</v>
      </c>
      <c r="E12" s="3">
        <f>IF(I12=0,0,VLOOKUP(M12/I12,部件升星消耗!$E$5:$F$7,2,TRUE))</f>
        <v>3</v>
      </c>
      <c r="F12" s="3">
        <f>IF(J12=0,0,VLOOKUP(N12/J12,部件升星消耗!$E$8:$F$10,2,TRUE))</f>
        <v>3</v>
      </c>
      <c r="G12" s="3">
        <f>IF(K12=0,0,VLOOKUP(O12/K12,部件升星消耗!$E$11:$F$13,2,TRUE))</f>
        <v>0</v>
      </c>
      <c r="H12" s="3">
        <f t="shared" si="6"/>
        <v>18</v>
      </c>
      <c r="I12" s="3">
        <f t="shared" si="7"/>
        <v>18</v>
      </c>
      <c r="J12" s="3">
        <f t="shared" si="8"/>
        <v>18</v>
      </c>
      <c r="K12" s="3">
        <f t="shared" si="9"/>
        <v>0</v>
      </c>
      <c r="L12" s="3">
        <f t="shared" si="10"/>
        <v>105.40974004904734</v>
      </c>
      <c r="M12" s="3">
        <f t="shared" si="11"/>
        <v>42.163896019618946</v>
      </c>
      <c r="N12" s="3">
        <f t="shared" si="12"/>
        <v>22.136045410299943</v>
      </c>
      <c r="O12" s="3">
        <f t="shared" si="13"/>
        <v>0</v>
      </c>
      <c r="P12" s="3">
        <f t="shared" si="2"/>
        <v>2.4</v>
      </c>
      <c r="Q12" s="3">
        <f t="shared" si="3"/>
        <v>0.96000000000000008</v>
      </c>
      <c r="R12" s="3">
        <f t="shared" si="4"/>
        <v>0.504</v>
      </c>
      <c r="S12" s="3">
        <f t="shared" si="5"/>
        <v>0</v>
      </c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3">
        <f>IF(H13=0,0,VLOOKUP(L13/H13,部件升星消耗!$E$2:$F$4,2,TRUE))</f>
        <v>2</v>
      </c>
      <c r="E13" s="3">
        <f>IF(I13=0,0,VLOOKUP(M13/I13,部件升星消耗!$E$5:$F$7,2,TRUE))</f>
        <v>3</v>
      </c>
      <c r="F13" s="3">
        <f>IF(J13=0,0,VLOOKUP(N13/J13,部件升星消耗!$E$8:$F$10,2,TRUE))</f>
        <v>3</v>
      </c>
      <c r="G13" s="3">
        <f>IF(K13=0,0,VLOOKUP(O13/K13,部件升星消耗!$E$11:$F$13,2,TRUE))</f>
        <v>0</v>
      </c>
      <c r="H13" s="3">
        <f t="shared" si="6"/>
        <v>18</v>
      </c>
      <c r="I13" s="3">
        <f t="shared" si="7"/>
        <v>18</v>
      </c>
      <c r="J13" s="3">
        <f t="shared" si="8"/>
        <v>18</v>
      </c>
      <c r="K13" s="3">
        <f t="shared" si="9"/>
        <v>0</v>
      </c>
      <c r="L13" s="3">
        <f t="shared" si="10"/>
        <v>128.04174004904735</v>
      </c>
      <c r="M13" s="3">
        <f t="shared" si="11"/>
        <v>51.216696019618951</v>
      </c>
      <c r="N13" s="3">
        <f t="shared" si="12"/>
        <v>26.888765410299943</v>
      </c>
      <c r="O13" s="3">
        <f t="shared" si="13"/>
        <v>0</v>
      </c>
      <c r="P13" s="3">
        <f t="shared" si="2"/>
        <v>2.4</v>
      </c>
      <c r="Q13" s="3">
        <f t="shared" si="3"/>
        <v>0.96000000000000008</v>
      </c>
      <c r="R13" s="3">
        <f t="shared" si="4"/>
        <v>0.504</v>
      </c>
      <c r="S13" s="3">
        <f t="shared" si="5"/>
        <v>0</v>
      </c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57">
        <f>IF(H14=0,0,VLOOKUP(L14/H14,部件升星消耗!$E$2:$F$4,2,TRUE))</f>
        <v>3</v>
      </c>
      <c r="E14" s="3">
        <f>IF(I14=0,0,VLOOKUP(M14/I14,部件升星消耗!$E$5:$F$7,2,TRUE))</f>
        <v>3</v>
      </c>
      <c r="F14" s="3">
        <f>IF(J14=0,0,VLOOKUP(N14/J14,部件升星消耗!$E$8:$F$10,2,TRUE))</f>
        <v>3</v>
      </c>
      <c r="G14" s="3">
        <f>IF(K14=0,0,VLOOKUP(O14/K14,部件升星消耗!$E$11:$F$13,2,TRUE))</f>
        <v>0</v>
      </c>
      <c r="H14" s="3">
        <f t="shared" si="6"/>
        <v>18</v>
      </c>
      <c r="I14" s="3">
        <f t="shared" si="7"/>
        <v>18</v>
      </c>
      <c r="J14" s="3">
        <f t="shared" si="8"/>
        <v>18</v>
      </c>
      <c r="K14" s="3">
        <f t="shared" si="9"/>
        <v>0</v>
      </c>
      <c r="L14" s="3">
        <f t="shared" si="10"/>
        <v>153.07374004904736</v>
      </c>
      <c r="M14" s="3">
        <f t="shared" si="11"/>
        <v>61.229496019618949</v>
      </c>
      <c r="N14" s="3">
        <f t="shared" si="12"/>
        <v>32.145485410299941</v>
      </c>
      <c r="O14" s="3">
        <f t="shared" si="13"/>
        <v>0</v>
      </c>
      <c r="P14" s="3">
        <f t="shared" si="2"/>
        <v>2.4</v>
      </c>
      <c r="Q14" s="3">
        <f t="shared" si="3"/>
        <v>0.96000000000000008</v>
      </c>
      <c r="R14" s="3">
        <f t="shared" si="4"/>
        <v>0.504</v>
      </c>
      <c r="S14" s="3">
        <f t="shared" si="5"/>
        <v>0</v>
      </c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3">
        <f>IF(H15=0,0,VLOOKUP(L15/H15,部件升星消耗!$E$2:$F$4,2,TRUE))</f>
        <v>3</v>
      </c>
      <c r="E15" s="3">
        <f>IF(I15=0,0,VLOOKUP(M15/I15,部件升星消耗!$E$5:$F$7,2,TRUE))</f>
        <v>3</v>
      </c>
      <c r="F15" s="3">
        <f>IF(J15=0,0,VLOOKUP(N15/J15,部件升星消耗!$E$8:$F$10,2,TRUE))</f>
        <v>4</v>
      </c>
      <c r="G15" s="3">
        <f>IF(K15=0,0,VLOOKUP(O15/K15,部件升星消耗!$E$11:$F$13,2,TRUE))</f>
        <v>0</v>
      </c>
      <c r="H15" s="3">
        <f t="shared" si="6"/>
        <v>18</v>
      </c>
      <c r="I15" s="3">
        <f t="shared" si="7"/>
        <v>18</v>
      </c>
      <c r="J15" s="3">
        <f t="shared" si="8"/>
        <v>18</v>
      </c>
      <c r="K15" s="3">
        <f t="shared" si="9"/>
        <v>0</v>
      </c>
      <c r="L15" s="3">
        <f t="shared" si="10"/>
        <v>180.50574004904735</v>
      </c>
      <c r="M15" s="3">
        <f t="shared" si="11"/>
        <v>72.202296019618956</v>
      </c>
      <c r="N15" s="3">
        <f t="shared" si="12"/>
        <v>37.90620541029994</v>
      </c>
      <c r="O15" s="3">
        <f t="shared" si="13"/>
        <v>0</v>
      </c>
      <c r="P15" s="3">
        <f t="shared" si="2"/>
        <v>2.4</v>
      </c>
      <c r="Q15" s="3">
        <f t="shared" si="3"/>
        <v>0.96000000000000008</v>
      </c>
      <c r="R15" s="3">
        <f t="shared" si="4"/>
        <v>0.504</v>
      </c>
      <c r="S15" s="3">
        <f t="shared" si="5"/>
        <v>0</v>
      </c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3">
        <f>IF(H16=0,0,VLOOKUP(L16/H16,部件升星消耗!$E$2:$F$4,2,TRUE))</f>
        <v>3</v>
      </c>
      <c r="E16" s="3">
        <f>IF(I16=0,0,VLOOKUP(M16/I16,部件升星消耗!$E$5:$F$7,2,TRUE))</f>
        <v>3</v>
      </c>
      <c r="F16" s="3">
        <f>IF(J16=0,0,VLOOKUP(N16/J16,部件升星消耗!$E$8:$F$10,2,TRUE))</f>
        <v>4</v>
      </c>
      <c r="G16" s="3">
        <f>IF(K16=0,0,VLOOKUP(O16/K16,部件升星消耗!$E$11:$F$13,2,TRUE))</f>
        <v>0</v>
      </c>
      <c r="H16" s="3">
        <f t="shared" si="6"/>
        <v>18</v>
      </c>
      <c r="I16" s="3">
        <f t="shared" si="7"/>
        <v>18</v>
      </c>
      <c r="J16" s="3">
        <f t="shared" si="8"/>
        <v>18</v>
      </c>
      <c r="K16" s="3">
        <f t="shared" si="9"/>
        <v>0</v>
      </c>
      <c r="L16" s="3">
        <f t="shared" si="10"/>
        <v>210.33774004904734</v>
      </c>
      <c r="M16" s="3">
        <f t="shared" si="11"/>
        <v>84.135096019618956</v>
      </c>
      <c r="N16" s="3">
        <f t="shared" si="12"/>
        <v>44.170925410299937</v>
      </c>
      <c r="O16" s="3">
        <f t="shared" si="13"/>
        <v>0</v>
      </c>
      <c r="P16" s="3">
        <f t="shared" si="2"/>
        <v>2.4</v>
      </c>
      <c r="Q16" s="3">
        <f t="shared" si="3"/>
        <v>0.96000000000000008</v>
      </c>
      <c r="R16" s="3">
        <f t="shared" si="4"/>
        <v>0.504</v>
      </c>
      <c r="S16" s="3">
        <f t="shared" si="5"/>
        <v>0</v>
      </c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3">
        <f>IF(H17=0,0,VLOOKUP(L17/H17,部件升星消耗!$E$2:$F$4,2,TRUE))</f>
        <v>3</v>
      </c>
      <c r="E17" s="3">
        <f>IF(I17=0,0,VLOOKUP(M17/I17,部件升星消耗!$E$5:$F$7,2,TRUE))</f>
        <v>3</v>
      </c>
      <c r="F17" s="3">
        <f>IF(J17=0,0,VLOOKUP(N17/J17,部件升星消耗!$E$8:$F$10,2,TRUE))</f>
        <v>4</v>
      </c>
      <c r="G17" s="3">
        <f>IF(K17=0,0,VLOOKUP(O17/K17,部件升星消耗!$E$11:$F$13,2,TRUE))</f>
        <v>0</v>
      </c>
      <c r="H17" s="3">
        <f t="shared" si="6"/>
        <v>18</v>
      </c>
      <c r="I17" s="3">
        <f t="shared" si="7"/>
        <v>18</v>
      </c>
      <c r="J17" s="3">
        <f t="shared" si="8"/>
        <v>18</v>
      </c>
      <c r="K17" s="3">
        <f t="shared" si="9"/>
        <v>0</v>
      </c>
      <c r="L17" s="3">
        <f t="shared" si="10"/>
        <v>242.56974004904734</v>
      </c>
      <c r="M17" s="3">
        <f t="shared" si="11"/>
        <v>97.027896019618964</v>
      </c>
      <c r="N17" s="3">
        <f t="shared" si="12"/>
        <v>50.939645410299939</v>
      </c>
      <c r="O17" s="3">
        <f t="shared" si="13"/>
        <v>0</v>
      </c>
      <c r="P17" s="3">
        <f t="shared" si="2"/>
        <v>2.4</v>
      </c>
      <c r="Q17" s="3">
        <f t="shared" si="3"/>
        <v>0.96000000000000008</v>
      </c>
      <c r="R17" s="3">
        <f t="shared" si="4"/>
        <v>0.504</v>
      </c>
      <c r="S17" s="3">
        <f t="shared" si="5"/>
        <v>0</v>
      </c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3">
        <f>IF(H18=0,0,VLOOKUP(L18/H18,部件升星消耗!$E$2:$F$4,2,TRUE))</f>
        <v>3</v>
      </c>
      <c r="E18" s="3">
        <f>IF(I18=0,0,VLOOKUP(M18/I18,部件升星消耗!$E$5:$F$7,2,TRUE))</f>
        <v>3</v>
      </c>
      <c r="F18" s="3">
        <f>IF(J18=0,0,VLOOKUP(N18/J18,部件升星消耗!$E$8:$F$10,2,TRUE))</f>
        <v>4</v>
      </c>
      <c r="G18" s="3">
        <f>IF(K18=0,0,VLOOKUP(O18/K18,部件升星消耗!$E$11:$F$13,2,TRUE))</f>
        <v>0</v>
      </c>
      <c r="H18" s="3">
        <f t="shared" si="6"/>
        <v>18</v>
      </c>
      <c r="I18" s="3">
        <f t="shared" si="7"/>
        <v>18</v>
      </c>
      <c r="J18" s="3">
        <f t="shared" si="8"/>
        <v>18</v>
      </c>
      <c r="K18" s="3">
        <f t="shared" si="9"/>
        <v>0</v>
      </c>
      <c r="L18" s="3">
        <f t="shared" si="10"/>
        <v>277.20174004904732</v>
      </c>
      <c r="M18" s="3">
        <f t="shared" si="11"/>
        <v>110.88069601961897</v>
      </c>
      <c r="N18" s="3">
        <f t="shared" si="12"/>
        <v>58.212365410299938</v>
      </c>
      <c r="O18" s="3">
        <f t="shared" si="13"/>
        <v>0</v>
      </c>
      <c r="P18" s="3">
        <f t="shared" si="2"/>
        <v>2.4</v>
      </c>
      <c r="Q18" s="3">
        <f t="shared" si="3"/>
        <v>0.96000000000000008</v>
      </c>
      <c r="R18" s="3">
        <f t="shared" si="4"/>
        <v>0.504</v>
      </c>
      <c r="S18" s="3">
        <f t="shared" si="5"/>
        <v>0</v>
      </c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3">
        <f>IF(H19=0,0,VLOOKUP(L19/H19,部件升星消耗!$E$2:$F$4,2,TRUE))</f>
        <v>3</v>
      </c>
      <c r="E19" s="3">
        <f>IF(I19=0,0,VLOOKUP(M19/I19,部件升星消耗!$E$5:$F$7,2,TRUE))</f>
        <v>3</v>
      </c>
      <c r="F19" s="3">
        <f>IF(J19=0,0,VLOOKUP(N19/J19,部件升星消耗!$E$8:$F$10,2,TRUE))</f>
        <v>4</v>
      </c>
      <c r="G19" s="3">
        <f>IF(K19=0,0,VLOOKUP(O19/K19,部件升星消耗!$E$11:$F$13,2,TRUE))</f>
        <v>0</v>
      </c>
      <c r="H19" s="3">
        <f t="shared" si="6"/>
        <v>18</v>
      </c>
      <c r="I19" s="3">
        <f t="shared" si="7"/>
        <v>18</v>
      </c>
      <c r="J19" s="3">
        <f t="shared" si="8"/>
        <v>18</v>
      </c>
      <c r="K19" s="3">
        <f t="shared" si="9"/>
        <v>0</v>
      </c>
      <c r="L19" s="3">
        <f t="shared" si="10"/>
        <v>314.2337400490473</v>
      </c>
      <c r="M19" s="3">
        <f t="shared" si="11"/>
        <v>125.69349601961896</v>
      </c>
      <c r="N19" s="3">
        <f t="shared" si="12"/>
        <v>65.989085410299936</v>
      </c>
      <c r="O19" s="3">
        <f t="shared" si="13"/>
        <v>0</v>
      </c>
      <c r="P19" s="3">
        <f t="shared" si="2"/>
        <v>2.4</v>
      </c>
      <c r="Q19" s="3">
        <f t="shared" si="3"/>
        <v>0.96000000000000008</v>
      </c>
      <c r="R19" s="3">
        <f t="shared" si="4"/>
        <v>0.504</v>
      </c>
      <c r="S19" s="3">
        <f t="shared" si="5"/>
        <v>0</v>
      </c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3">
        <f>IF(H20=0,0,VLOOKUP(L20/H20,部件升星消耗!$E$2:$F$4,2,TRUE))</f>
        <v>3</v>
      </c>
      <c r="E20" s="3">
        <f>IF(I20=0,0,VLOOKUP(M20/I20,部件升星消耗!$E$5:$F$7,2,TRUE))</f>
        <v>3</v>
      </c>
      <c r="F20" s="3">
        <f>IF(J20=0,0,VLOOKUP(N20/J20,部件升星消耗!$E$8:$F$10,2,TRUE))</f>
        <v>4</v>
      </c>
      <c r="G20" s="3">
        <f>IF(K20=0,0,VLOOKUP(O20/K20,部件升星消耗!$E$11:$F$13,2,TRUE))</f>
        <v>0</v>
      </c>
      <c r="H20" s="3">
        <f t="shared" si="6"/>
        <v>18</v>
      </c>
      <c r="I20" s="3">
        <f t="shared" si="7"/>
        <v>18</v>
      </c>
      <c r="J20" s="3">
        <f t="shared" si="8"/>
        <v>18</v>
      </c>
      <c r="K20" s="3">
        <f t="shared" si="9"/>
        <v>0</v>
      </c>
      <c r="L20" s="3">
        <f t="shared" si="10"/>
        <v>353.66574004904732</v>
      </c>
      <c r="M20" s="3">
        <f t="shared" si="11"/>
        <v>141.46629601961897</v>
      </c>
      <c r="N20" s="3">
        <f t="shared" si="12"/>
        <v>74.269805410299938</v>
      </c>
      <c r="O20" s="3">
        <f t="shared" si="13"/>
        <v>0</v>
      </c>
      <c r="P20" s="3">
        <f t="shared" si="2"/>
        <v>2.4</v>
      </c>
      <c r="Q20" s="3">
        <f t="shared" si="3"/>
        <v>0.96000000000000008</v>
      </c>
      <c r="R20" s="3">
        <f t="shared" si="4"/>
        <v>0.504</v>
      </c>
      <c r="S20" s="3">
        <f t="shared" si="5"/>
        <v>0</v>
      </c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3">
        <f>IF(H21=0,0,VLOOKUP(L21/H21,部件升星消耗!$E$2:$F$4,2,TRUE))</f>
        <v>3</v>
      </c>
      <c r="E21" s="57">
        <f>IF(I21=0,0,VLOOKUP(M21/I21,部件升星消耗!$E$5:$F$7,2,TRUE))</f>
        <v>4</v>
      </c>
      <c r="F21" s="3">
        <f>IF(J21=0,0,VLOOKUP(N21/J21,部件升星消耗!$E$8:$F$10,2,TRUE))</f>
        <v>4</v>
      </c>
      <c r="G21" s="3">
        <f>IF(K21=0,0,VLOOKUP(O21/K21,部件升星消耗!$E$11:$F$13,2,TRUE))</f>
        <v>0</v>
      </c>
      <c r="H21" s="3">
        <f t="shared" si="6"/>
        <v>18</v>
      </c>
      <c r="I21" s="3">
        <f t="shared" si="7"/>
        <v>18</v>
      </c>
      <c r="J21" s="3">
        <f t="shared" si="8"/>
        <v>18</v>
      </c>
      <c r="K21" s="3">
        <f t="shared" si="9"/>
        <v>0</v>
      </c>
      <c r="L21" s="3">
        <f t="shared" si="10"/>
        <v>397.82574004904734</v>
      </c>
      <c r="M21" s="3">
        <f t="shared" si="11"/>
        <v>159.13029601961898</v>
      </c>
      <c r="N21" s="3">
        <f t="shared" si="12"/>
        <v>83.54340541029994</v>
      </c>
      <c r="O21" s="3">
        <f t="shared" si="13"/>
        <v>0</v>
      </c>
      <c r="P21" s="3">
        <f t="shared" si="2"/>
        <v>2.4</v>
      </c>
      <c r="Q21" s="3">
        <f t="shared" si="3"/>
        <v>0.96000000000000008</v>
      </c>
      <c r="R21" s="3">
        <f t="shared" si="4"/>
        <v>0.504</v>
      </c>
      <c r="S21" s="3">
        <f t="shared" si="5"/>
        <v>0</v>
      </c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3">
        <f>IF(H22=0,0,VLOOKUP(L22/H22,部件升星消耗!$E$2:$F$4,2,TRUE))</f>
        <v>3</v>
      </c>
      <c r="E22" s="3">
        <f>IF(I22=0,0,VLOOKUP(M22/I22,部件升星消耗!$E$5:$F$7,2,TRUE))</f>
        <v>4</v>
      </c>
      <c r="F22" s="3">
        <f>IF(J22=0,0,VLOOKUP(N22/J22,部件升星消耗!$E$8:$F$10,2,TRUE))</f>
        <v>4</v>
      </c>
      <c r="G22" s="3">
        <f>IF(K22=0,0,VLOOKUP(O22/K22,部件升星消耗!$E$11:$F$13,2,TRUE))</f>
        <v>0</v>
      </c>
      <c r="H22" s="3">
        <f t="shared" si="6"/>
        <v>18</v>
      </c>
      <c r="I22" s="3">
        <f t="shared" si="7"/>
        <v>18</v>
      </c>
      <c r="J22" s="3">
        <f t="shared" si="8"/>
        <v>18</v>
      </c>
      <c r="K22" s="3">
        <f t="shared" si="9"/>
        <v>0</v>
      </c>
      <c r="L22" s="3">
        <f t="shared" si="10"/>
        <v>445.34574004904732</v>
      </c>
      <c r="M22" s="3">
        <f t="shared" si="11"/>
        <v>178.13829601961899</v>
      </c>
      <c r="N22" s="3">
        <f t="shared" si="12"/>
        <v>93.522605410299946</v>
      </c>
      <c r="O22" s="3">
        <f t="shared" si="13"/>
        <v>0</v>
      </c>
      <c r="P22" s="3">
        <f t="shared" si="2"/>
        <v>2.4</v>
      </c>
      <c r="Q22" s="3">
        <f t="shared" si="3"/>
        <v>0.96000000000000008</v>
      </c>
      <c r="R22" s="3">
        <f t="shared" si="4"/>
        <v>0.504</v>
      </c>
      <c r="S22" s="3">
        <f t="shared" si="5"/>
        <v>0</v>
      </c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3">
        <f>IF(H23=0,0,VLOOKUP(L23/H23,部件升星消耗!$E$2:$F$4,2,TRUE))</f>
        <v>3</v>
      </c>
      <c r="E23" s="3">
        <f>IF(I23=0,0,VLOOKUP(M23/I23,部件升星消耗!$E$5:$F$7,2,TRUE))</f>
        <v>4</v>
      </c>
      <c r="F23" s="3">
        <f>IF(J23=0,0,VLOOKUP(N23/J23,部件升星消耗!$E$8:$F$10,2,TRUE))</f>
        <v>4</v>
      </c>
      <c r="G23" s="3">
        <f>IF(K23=0,0,VLOOKUP(O23/K23,部件升星消耗!$E$11:$F$13,2,TRUE))</f>
        <v>0</v>
      </c>
      <c r="H23" s="3">
        <f t="shared" si="6"/>
        <v>18</v>
      </c>
      <c r="I23" s="3">
        <f t="shared" si="7"/>
        <v>18</v>
      </c>
      <c r="J23" s="3">
        <f t="shared" si="8"/>
        <v>18</v>
      </c>
      <c r="K23" s="3">
        <f t="shared" si="9"/>
        <v>0</v>
      </c>
      <c r="L23" s="3">
        <f t="shared" si="10"/>
        <v>496.22574004904732</v>
      </c>
      <c r="M23" s="3">
        <f t="shared" si="11"/>
        <v>198.490296019619</v>
      </c>
      <c r="N23" s="3">
        <f t="shared" si="12"/>
        <v>104.20740541029994</v>
      </c>
      <c r="O23" s="3">
        <f t="shared" si="13"/>
        <v>0</v>
      </c>
      <c r="P23" s="3">
        <f t="shared" si="2"/>
        <v>2.4</v>
      </c>
      <c r="Q23" s="3">
        <f t="shared" si="3"/>
        <v>0.96000000000000008</v>
      </c>
      <c r="R23" s="3">
        <f t="shared" si="4"/>
        <v>0.504</v>
      </c>
      <c r="S23" s="3">
        <f t="shared" si="5"/>
        <v>0</v>
      </c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3">
        <f>IF(H24=0,0,VLOOKUP(L24/H24,部件升星消耗!$E$2:$F$4,2,TRUE))</f>
        <v>3</v>
      </c>
      <c r="E24" s="3">
        <f>IF(I24=0,0,VLOOKUP(M24/I24,部件升星消耗!$E$5:$F$7,2,TRUE))</f>
        <v>4</v>
      </c>
      <c r="F24" s="3">
        <f>IF(J24=0,0,VLOOKUP(N24/J24,部件升星消耗!$E$8:$F$10,2,TRUE))</f>
        <v>4</v>
      </c>
      <c r="G24" s="3">
        <f>IF(K24=0,0,VLOOKUP(O24/K24,部件升星消耗!$E$11:$F$13,2,TRUE))</f>
        <v>0</v>
      </c>
      <c r="H24" s="3">
        <f t="shared" si="6"/>
        <v>18</v>
      </c>
      <c r="I24" s="3">
        <f t="shared" si="7"/>
        <v>18</v>
      </c>
      <c r="J24" s="3">
        <f t="shared" si="8"/>
        <v>18</v>
      </c>
      <c r="K24" s="3">
        <f t="shared" si="9"/>
        <v>0</v>
      </c>
      <c r="L24" s="3">
        <f t="shared" si="10"/>
        <v>550.46574004904733</v>
      </c>
      <c r="M24" s="3">
        <f t="shared" si="11"/>
        <v>220.18629601961899</v>
      </c>
      <c r="N24" s="3">
        <f t="shared" si="12"/>
        <v>115.59780541029994</v>
      </c>
      <c r="O24" s="3">
        <f t="shared" si="13"/>
        <v>0</v>
      </c>
      <c r="P24" s="3">
        <f t="shared" si="2"/>
        <v>2.4</v>
      </c>
      <c r="Q24" s="3">
        <f t="shared" si="3"/>
        <v>0.96000000000000008</v>
      </c>
      <c r="R24" s="3">
        <f t="shared" si="4"/>
        <v>0.504</v>
      </c>
      <c r="S24" s="3">
        <f t="shared" si="5"/>
        <v>0</v>
      </c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3">
        <f>IF(H25=0,0,VLOOKUP(L25/H25,部件升星消耗!$E$2:$F$4,2,TRUE))</f>
        <v>3</v>
      </c>
      <c r="E25" s="3">
        <f>IF(I25=0,0,VLOOKUP(M25/I25,部件升星消耗!$E$5:$F$7,2,TRUE))</f>
        <v>4</v>
      </c>
      <c r="F25" s="3">
        <f>IF(J25=0,0,VLOOKUP(N25/J25,部件升星消耗!$E$8:$F$10,2,TRUE))</f>
        <v>4</v>
      </c>
      <c r="G25" s="3">
        <f>IF(K25=0,0,VLOOKUP(O25/K25,部件升星消耗!$E$11:$F$13,2,TRUE))</f>
        <v>0</v>
      </c>
      <c r="H25" s="3">
        <f t="shared" si="6"/>
        <v>18</v>
      </c>
      <c r="I25" s="3">
        <f t="shared" si="7"/>
        <v>18</v>
      </c>
      <c r="J25" s="3">
        <f t="shared" si="8"/>
        <v>18</v>
      </c>
      <c r="K25" s="3">
        <f t="shared" si="9"/>
        <v>0</v>
      </c>
      <c r="L25" s="3">
        <f t="shared" si="10"/>
        <v>608.06574004904735</v>
      </c>
      <c r="M25" s="3">
        <f t="shared" si="11"/>
        <v>243.22629601961899</v>
      </c>
      <c r="N25" s="3">
        <f t="shared" si="12"/>
        <v>127.69380541029994</v>
      </c>
      <c r="O25" s="3">
        <f t="shared" si="13"/>
        <v>0</v>
      </c>
      <c r="P25" s="3">
        <f t="shared" si="2"/>
        <v>2.4</v>
      </c>
      <c r="Q25" s="3">
        <f t="shared" si="3"/>
        <v>0.96000000000000008</v>
      </c>
      <c r="R25" s="3">
        <f t="shared" si="4"/>
        <v>0.504</v>
      </c>
      <c r="S25" s="3">
        <f t="shared" si="5"/>
        <v>0</v>
      </c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3">
        <f>IF(H26=0,0,VLOOKUP(L26/H26,部件升星消耗!$E$2:$F$4,2,TRUE))</f>
        <v>3</v>
      </c>
      <c r="E26" s="3">
        <f>IF(I26=0,0,VLOOKUP(M26/I26,部件升星消耗!$E$5:$F$7,2,TRUE))</f>
        <v>4</v>
      </c>
      <c r="F26" s="3">
        <f>IF(J26=0,0,VLOOKUP(N26/J26,部件升星消耗!$E$8:$F$10,2,TRUE))</f>
        <v>4</v>
      </c>
      <c r="G26" s="3">
        <f>IF(K26=0,0,VLOOKUP(O26/K26,部件升星消耗!$E$11:$F$13,2,TRUE))</f>
        <v>0</v>
      </c>
      <c r="H26" s="3">
        <f t="shared" si="6"/>
        <v>18</v>
      </c>
      <c r="I26" s="3">
        <f t="shared" si="7"/>
        <v>18</v>
      </c>
      <c r="J26" s="3">
        <f t="shared" si="8"/>
        <v>18</v>
      </c>
      <c r="K26" s="3">
        <f t="shared" si="9"/>
        <v>0</v>
      </c>
      <c r="L26" s="3">
        <f t="shared" si="10"/>
        <v>669.02574004904739</v>
      </c>
      <c r="M26" s="3">
        <f t="shared" si="11"/>
        <v>267.610296019619</v>
      </c>
      <c r="N26" s="3">
        <f t="shared" si="12"/>
        <v>140.49540541029995</v>
      </c>
      <c r="O26" s="3">
        <f t="shared" si="13"/>
        <v>0</v>
      </c>
      <c r="P26" s="3">
        <f t="shared" si="2"/>
        <v>2.4</v>
      </c>
      <c r="Q26" s="3">
        <f t="shared" si="3"/>
        <v>0.96000000000000008</v>
      </c>
      <c r="R26" s="3">
        <f t="shared" si="4"/>
        <v>0.504</v>
      </c>
      <c r="S26" s="3">
        <f t="shared" si="5"/>
        <v>0</v>
      </c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3">
        <f>IF(H27=0,0,VLOOKUP(L27/H27,部件升星消耗!$E$2:$F$4,2,TRUE))</f>
        <v>3</v>
      </c>
      <c r="E27" s="3">
        <f>IF(I27=0,0,VLOOKUP(M27/I27,部件升星消耗!$E$5:$F$7,2,TRUE))</f>
        <v>4</v>
      </c>
      <c r="F27" s="57">
        <f>IF(J27=0,0,VLOOKUP(N27/J27,部件升星消耗!$E$8:$F$10,2,TRUE))</f>
        <v>5</v>
      </c>
      <c r="G27" s="3">
        <f>IF(K27=0,0,VLOOKUP(O27/K27,部件升星消耗!$E$11:$F$13,2,TRUE))</f>
        <v>0</v>
      </c>
      <c r="H27" s="3">
        <f t="shared" si="6"/>
        <v>18</v>
      </c>
      <c r="I27" s="3">
        <f t="shared" si="7"/>
        <v>18</v>
      </c>
      <c r="J27" s="3">
        <f t="shared" si="8"/>
        <v>18</v>
      </c>
      <c r="K27" s="3">
        <f t="shared" si="9"/>
        <v>0</v>
      </c>
      <c r="L27" s="3">
        <f t="shared" si="10"/>
        <v>733.34574004904744</v>
      </c>
      <c r="M27" s="3">
        <f t="shared" si="11"/>
        <v>293.33829601961901</v>
      </c>
      <c r="N27" s="3">
        <f t="shared" si="12"/>
        <v>154.00260541029996</v>
      </c>
      <c r="O27" s="3">
        <f t="shared" si="13"/>
        <v>0</v>
      </c>
      <c r="P27" s="3">
        <f t="shared" si="2"/>
        <v>2.4</v>
      </c>
      <c r="Q27" s="3">
        <f t="shared" si="3"/>
        <v>0.96000000000000008</v>
      </c>
      <c r="R27" s="3">
        <f t="shared" si="4"/>
        <v>0.504</v>
      </c>
      <c r="S27" s="3">
        <f t="shared" si="5"/>
        <v>0</v>
      </c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3">
        <f>IF(H28=0,0,VLOOKUP(L28/H28,部件升星消耗!$E$2:$F$4,2,TRUE))</f>
        <v>3</v>
      </c>
      <c r="E28" s="3">
        <f>IF(I28=0,0,VLOOKUP(M28/I28,部件升星消耗!$E$5:$F$7,2,TRUE))</f>
        <v>4</v>
      </c>
      <c r="F28" s="3">
        <f>IF(J28=0,0,VLOOKUP(N28/J28,部件升星消耗!$E$8:$F$10,2,TRUE))</f>
        <v>5</v>
      </c>
      <c r="G28" s="3">
        <f>IF(K28=0,0,VLOOKUP(O28/K28,部件升星消耗!$E$11:$F$13,2,TRUE))</f>
        <v>0</v>
      </c>
      <c r="H28" s="3">
        <f t="shared" si="6"/>
        <v>18</v>
      </c>
      <c r="I28" s="3">
        <f t="shared" si="7"/>
        <v>18</v>
      </c>
      <c r="J28" s="3">
        <f t="shared" si="8"/>
        <v>18</v>
      </c>
      <c r="K28" s="3">
        <f t="shared" si="9"/>
        <v>0</v>
      </c>
      <c r="L28" s="3">
        <f t="shared" si="10"/>
        <v>801.02574004904739</v>
      </c>
      <c r="M28" s="3">
        <f t="shared" si="11"/>
        <v>320.41029601961901</v>
      </c>
      <c r="N28" s="3">
        <f t="shared" si="12"/>
        <v>168.21540541029995</v>
      </c>
      <c r="O28" s="3">
        <f t="shared" si="13"/>
        <v>0</v>
      </c>
      <c r="P28" s="3">
        <f t="shared" si="2"/>
        <v>2.4</v>
      </c>
      <c r="Q28" s="3">
        <f t="shared" si="3"/>
        <v>0.96000000000000008</v>
      </c>
      <c r="R28" s="3">
        <f t="shared" si="4"/>
        <v>0.504</v>
      </c>
      <c r="S28" s="3">
        <f t="shared" si="5"/>
        <v>0</v>
      </c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3">
        <f>IF(H29=0,0,VLOOKUP(L29/H29,部件升星消耗!$E$2:$F$4,2,TRUE))</f>
        <v>3</v>
      </c>
      <c r="E29" s="3">
        <f>IF(I29=0,0,VLOOKUP(M29/I29,部件升星消耗!$E$5:$F$7,2,TRUE))</f>
        <v>4</v>
      </c>
      <c r="F29" s="3">
        <f>IF(J29=0,0,VLOOKUP(N29/J29,部件升星消耗!$E$8:$F$10,2,TRUE))</f>
        <v>5</v>
      </c>
      <c r="G29" s="3">
        <f>IF(K29=0,0,VLOOKUP(O29/K29,部件升星消耗!$E$11:$F$13,2,TRUE))</f>
        <v>0</v>
      </c>
      <c r="H29" s="3">
        <f t="shared" si="6"/>
        <v>18</v>
      </c>
      <c r="I29" s="3">
        <f t="shared" si="7"/>
        <v>18</v>
      </c>
      <c r="J29" s="3">
        <f t="shared" si="8"/>
        <v>18</v>
      </c>
      <c r="K29" s="3">
        <f t="shared" si="9"/>
        <v>0</v>
      </c>
      <c r="L29" s="3">
        <f t="shared" si="10"/>
        <v>872.06574004904735</v>
      </c>
      <c r="M29" s="3">
        <f t="shared" si="11"/>
        <v>348.82629601961901</v>
      </c>
      <c r="N29" s="3">
        <f t="shared" si="12"/>
        <v>183.13380541029994</v>
      </c>
      <c r="O29" s="3">
        <f t="shared" si="13"/>
        <v>0</v>
      </c>
      <c r="P29" s="3">
        <f t="shared" si="2"/>
        <v>2.4</v>
      </c>
      <c r="Q29" s="3">
        <f t="shared" si="3"/>
        <v>0.96000000000000008</v>
      </c>
      <c r="R29" s="3">
        <f t="shared" si="4"/>
        <v>0.504</v>
      </c>
      <c r="S29" s="3">
        <f t="shared" si="5"/>
        <v>0</v>
      </c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3">
        <f>IF(H30=0,0,VLOOKUP(L30/H30,部件升星消耗!$E$2:$F$4,2,TRUE))</f>
        <v>3</v>
      </c>
      <c r="E30" s="3">
        <f>IF(I30=0,0,VLOOKUP(M30/I30,部件升星消耗!$E$5:$F$7,2,TRUE))</f>
        <v>4</v>
      </c>
      <c r="F30" s="3">
        <f>IF(J30=0,0,VLOOKUP(N30/J30,部件升星消耗!$E$8:$F$10,2,TRUE))</f>
        <v>5</v>
      </c>
      <c r="G30" s="3">
        <f>IF(K30=0,0,VLOOKUP(O30/K30,部件升星消耗!$E$11:$F$13,2,TRUE))</f>
        <v>0</v>
      </c>
      <c r="H30" s="3">
        <f t="shared" si="6"/>
        <v>18</v>
      </c>
      <c r="I30" s="3">
        <f t="shared" si="7"/>
        <v>18</v>
      </c>
      <c r="J30" s="3">
        <f t="shared" si="8"/>
        <v>18</v>
      </c>
      <c r="K30" s="3">
        <f t="shared" si="9"/>
        <v>0</v>
      </c>
      <c r="L30" s="3">
        <f t="shared" si="10"/>
        <v>952.70574004904734</v>
      </c>
      <c r="M30" s="3">
        <f t="shared" si="11"/>
        <v>381.08229601961898</v>
      </c>
      <c r="N30" s="3">
        <f t="shared" si="12"/>
        <v>200.06820541029992</v>
      </c>
      <c r="O30" s="3">
        <f t="shared" si="13"/>
        <v>0</v>
      </c>
      <c r="P30" s="3">
        <f t="shared" si="2"/>
        <v>2.4</v>
      </c>
      <c r="Q30" s="3">
        <f t="shared" si="3"/>
        <v>0.96000000000000008</v>
      </c>
      <c r="R30" s="3">
        <f t="shared" si="4"/>
        <v>0.504</v>
      </c>
      <c r="S30" s="3">
        <f t="shared" si="5"/>
        <v>0</v>
      </c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3">
        <f>IF(H31=0,0,VLOOKUP(L31/H31,部件升星消耗!$E$2:$F$4,2,TRUE))</f>
        <v>3</v>
      </c>
      <c r="E31" s="3">
        <f>IF(I31=0,0,VLOOKUP(M31/I31,部件升星消耗!$E$5:$F$7,2,TRUE))</f>
        <v>4</v>
      </c>
      <c r="F31" s="3">
        <f>IF(J31=0,0,VLOOKUP(N31/J31,部件升星消耗!$E$8:$F$10,2,TRUE))</f>
        <v>5</v>
      </c>
      <c r="G31" s="3">
        <f>IF(K31=0,0,VLOOKUP(O31/K31,部件升星消耗!$E$11:$F$13,2,TRUE))</f>
        <v>0</v>
      </c>
      <c r="H31" s="3">
        <f t="shared" si="6"/>
        <v>18</v>
      </c>
      <c r="I31" s="3">
        <f t="shared" si="7"/>
        <v>18</v>
      </c>
      <c r="J31" s="3">
        <f t="shared" si="8"/>
        <v>18</v>
      </c>
      <c r="K31" s="3">
        <f t="shared" si="9"/>
        <v>0</v>
      </c>
      <c r="L31" s="3">
        <f t="shared" si="10"/>
        <v>1039.5857400490474</v>
      </c>
      <c r="M31" s="3">
        <f t="shared" si="11"/>
        <v>415.83429601961899</v>
      </c>
      <c r="N31" s="3">
        <f t="shared" si="12"/>
        <v>218.31300541029992</v>
      </c>
      <c r="O31" s="3">
        <f t="shared" si="13"/>
        <v>0</v>
      </c>
      <c r="P31" s="3">
        <f t="shared" si="2"/>
        <v>2.4</v>
      </c>
      <c r="Q31" s="3">
        <f t="shared" si="3"/>
        <v>0.96000000000000008</v>
      </c>
      <c r="R31" s="3">
        <f t="shared" si="4"/>
        <v>0.504</v>
      </c>
      <c r="S31" s="3">
        <f t="shared" si="5"/>
        <v>0</v>
      </c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3">
        <f>IF(H32=0,0,VLOOKUP(L32/H32,部件升星消耗!$E$2:$F$4,2,TRUE))</f>
        <v>3</v>
      </c>
      <c r="E32" s="3">
        <f>IF(I32=0,0,VLOOKUP(M32/I32,部件升星消耗!$E$5:$F$7,2,TRUE))</f>
        <v>4</v>
      </c>
      <c r="F32" s="3">
        <f>IF(J32=0,0,VLOOKUP(N32/J32,部件升星消耗!$E$8:$F$10,2,TRUE))</f>
        <v>5</v>
      </c>
      <c r="G32" s="3">
        <f>IF(K32=0,0,VLOOKUP(O32/K32,部件升星消耗!$E$11:$F$13,2,TRUE))</f>
        <v>0</v>
      </c>
      <c r="H32" s="3">
        <f t="shared" si="6"/>
        <v>18</v>
      </c>
      <c r="I32" s="3">
        <f t="shared" si="7"/>
        <v>18</v>
      </c>
      <c r="J32" s="3">
        <f t="shared" si="8"/>
        <v>18</v>
      </c>
      <c r="K32" s="3">
        <f t="shared" si="9"/>
        <v>0</v>
      </c>
      <c r="L32" s="3">
        <f t="shared" si="10"/>
        <v>1132.7057400490473</v>
      </c>
      <c r="M32" s="3">
        <f t="shared" si="11"/>
        <v>453.08229601961898</v>
      </c>
      <c r="N32" s="3">
        <f t="shared" si="12"/>
        <v>237.86820541029994</v>
      </c>
      <c r="O32" s="3">
        <f t="shared" si="13"/>
        <v>0</v>
      </c>
      <c r="P32" s="3">
        <f t="shared" si="2"/>
        <v>2.4</v>
      </c>
      <c r="Q32" s="3">
        <f t="shared" si="3"/>
        <v>0.96000000000000008</v>
      </c>
      <c r="R32" s="3">
        <f t="shared" si="4"/>
        <v>0.504</v>
      </c>
      <c r="S32" s="3">
        <f t="shared" si="5"/>
        <v>0</v>
      </c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3">
        <f>IF(H33=0,0,VLOOKUP(L33/H33,部件升星消耗!$E$2:$F$4,2,TRUE))</f>
        <v>3</v>
      </c>
      <c r="E33" s="3">
        <f>IF(I33=0,0,VLOOKUP(M33/I33,部件升星消耗!$E$5:$F$7,2,TRUE))</f>
        <v>4</v>
      </c>
      <c r="F33" s="3">
        <f>IF(J33=0,0,VLOOKUP(N33/J33,部件升星消耗!$E$8:$F$10,2,TRUE))</f>
        <v>5</v>
      </c>
      <c r="G33" s="3">
        <f>IF(K33=0,0,VLOOKUP(O33/K33,部件升星消耗!$E$11:$F$13,2,TRUE))</f>
        <v>0</v>
      </c>
      <c r="H33" s="3">
        <f t="shared" si="6"/>
        <v>18</v>
      </c>
      <c r="I33" s="3">
        <f t="shared" si="7"/>
        <v>18</v>
      </c>
      <c r="J33" s="3">
        <f t="shared" si="8"/>
        <v>18</v>
      </c>
      <c r="K33" s="3">
        <f t="shared" si="9"/>
        <v>0</v>
      </c>
      <c r="L33" s="3">
        <f t="shared" si="10"/>
        <v>1232.0657400490472</v>
      </c>
      <c r="M33" s="3">
        <f t="shared" si="11"/>
        <v>492.82629601961901</v>
      </c>
      <c r="N33" s="3">
        <f t="shared" si="12"/>
        <v>258.73380541029996</v>
      </c>
      <c r="O33" s="3">
        <f t="shared" si="13"/>
        <v>0</v>
      </c>
      <c r="P33" s="3">
        <f t="shared" si="2"/>
        <v>2.4</v>
      </c>
      <c r="Q33" s="3">
        <f t="shared" si="3"/>
        <v>0.96000000000000008</v>
      </c>
      <c r="R33" s="3">
        <f t="shared" si="4"/>
        <v>0.504</v>
      </c>
      <c r="S33" s="3">
        <f t="shared" si="5"/>
        <v>0</v>
      </c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3">
        <f>IF(H34=0,0,VLOOKUP(L34/H34,部件升星消耗!$E$2:$F$4,2,TRUE))</f>
        <v>3</v>
      </c>
      <c r="E34" s="3">
        <f>IF(I34=0,0,VLOOKUP(M34/I34,部件升星消耗!$E$5:$F$7,2,TRUE))</f>
        <v>4</v>
      </c>
      <c r="F34" s="3">
        <f>IF(J34=0,0,VLOOKUP(N34/J34,部件升星消耗!$E$8:$F$10,2,TRUE))</f>
        <v>5</v>
      </c>
      <c r="G34" s="3">
        <f>IF(K34=0,0,VLOOKUP(O34/K34,部件升星消耗!$E$11:$F$13,2,TRUE))</f>
        <v>0</v>
      </c>
      <c r="H34" s="3">
        <f t="shared" si="6"/>
        <v>18</v>
      </c>
      <c r="I34" s="3">
        <f t="shared" si="7"/>
        <v>18</v>
      </c>
      <c r="J34" s="3">
        <f t="shared" si="8"/>
        <v>18</v>
      </c>
      <c r="K34" s="3">
        <f t="shared" si="9"/>
        <v>0</v>
      </c>
      <c r="L34" s="3">
        <f t="shared" si="10"/>
        <v>1337.6657400490471</v>
      </c>
      <c r="M34" s="3">
        <f t="shared" si="11"/>
        <v>535.06629601961902</v>
      </c>
      <c r="N34" s="3">
        <f t="shared" si="12"/>
        <v>280.90980541029995</v>
      </c>
      <c r="O34" s="3">
        <f t="shared" si="13"/>
        <v>0</v>
      </c>
      <c r="P34" s="3">
        <f t="shared" si="2"/>
        <v>2.4</v>
      </c>
      <c r="Q34" s="3">
        <f t="shared" si="3"/>
        <v>0.96000000000000008</v>
      </c>
      <c r="R34" s="3">
        <f t="shared" si="4"/>
        <v>0.504</v>
      </c>
      <c r="S34" s="3">
        <f t="shared" si="5"/>
        <v>0</v>
      </c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3">
        <f>IF(H35=0,0,VLOOKUP(L35/H35,部件升星消耗!$E$2:$F$4,2,TRUE))</f>
        <v>3</v>
      </c>
      <c r="E35" s="3">
        <f>IF(I35=0,0,VLOOKUP(M35/I35,部件升星消耗!$E$5:$F$7,2,TRUE))</f>
        <v>4</v>
      </c>
      <c r="F35" s="3">
        <f>IF(J35=0,0,VLOOKUP(N35/J35,部件升星消耗!$E$8:$F$10,2,TRUE))</f>
        <v>5</v>
      </c>
      <c r="G35" s="3">
        <f>IF(K35=0,0,VLOOKUP(O35/K35,部件升星消耗!$E$11:$F$13,2,TRUE))</f>
        <v>0</v>
      </c>
      <c r="H35" s="3">
        <f t="shared" si="6"/>
        <v>18</v>
      </c>
      <c r="I35" s="3">
        <f t="shared" si="7"/>
        <v>18</v>
      </c>
      <c r="J35" s="3">
        <f t="shared" si="8"/>
        <v>18</v>
      </c>
      <c r="K35" s="3">
        <f t="shared" si="9"/>
        <v>0</v>
      </c>
      <c r="L35" s="3">
        <f t="shared" si="10"/>
        <v>1449.5057400490471</v>
      </c>
      <c r="M35" s="3">
        <f t="shared" si="11"/>
        <v>579.80229601961901</v>
      </c>
      <c r="N35" s="3">
        <f t="shared" si="12"/>
        <v>304.39620541029996</v>
      </c>
      <c r="O35" s="3">
        <f t="shared" si="13"/>
        <v>0</v>
      </c>
      <c r="P35" s="3">
        <f t="shared" si="2"/>
        <v>2.4</v>
      </c>
      <c r="Q35" s="3">
        <f t="shared" si="3"/>
        <v>0.96000000000000008</v>
      </c>
      <c r="R35" s="3">
        <f t="shared" si="4"/>
        <v>0.504</v>
      </c>
      <c r="S35" s="3">
        <f t="shared" si="5"/>
        <v>0</v>
      </c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3">
        <f>IF(H36=0,0,VLOOKUP(L36/H36,部件升星消耗!$E$2:$F$4,2,TRUE))</f>
        <v>3</v>
      </c>
      <c r="E36" s="3">
        <f>IF(I36=0,0,VLOOKUP(M36/I36,部件升星消耗!$E$5:$F$7,2,TRUE))</f>
        <v>4</v>
      </c>
      <c r="F36" s="3">
        <f>IF(J36=0,0,VLOOKUP(N36/J36,部件升星消耗!$E$8:$F$10,2,TRUE))</f>
        <v>5</v>
      </c>
      <c r="G36" s="3">
        <f>IF(K36=0,0,VLOOKUP(O36/K36,部件升星消耗!$E$11:$F$13,2,TRUE))</f>
        <v>0</v>
      </c>
      <c r="H36" s="3">
        <f t="shared" si="6"/>
        <v>18</v>
      </c>
      <c r="I36" s="3">
        <f t="shared" si="7"/>
        <v>18</v>
      </c>
      <c r="J36" s="3">
        <f t="shared" si="8"/>
        <v>18</v>
      </c>
      <c r="K36" s="3">
        <f t="shared" si="9"/>
        <v>0</v>
      </c>
      <c r="L36" s="3">
        <f t="shared" si="10"/>
        <v>1567.585740049047</v>
      </c>
      <c r="M36" s="3">
        <f t="shared" si="11"/>
        <v>627.03429601961898</v>
      </c>
      <c r="N36" s="3">
        <f t="shared" si="12"/>
        <v>329.19300541029997</v>
      </c>
      <c r="O36" s="3">
        <f t="shared" si="13"/>
        <v>0</v>
      </c>
      <c r="P36" s="3">
        <f t="shared" si="2"/>
        <v>2.4</v>
      </c>
      <c r="Q36" s="3">
        <f t="shared" si="3"/>
        <v>0.96000000000000008</v>
      </c>
      <c r="R36" s="3">
        <f t="shared" si="4"/>
        <v>0.504</v>
      </c>
      <c r="S36" s="3">
        <f t="shared" si="5"/>
        <v>0</v>
      </c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3">
        <f>IF(H37=0,0,VLOOKUP(L37/H37,部件升星消耗!$E$2:$F$4,2,TRUE))</f>
        <v>3</v>
      </c>
      <c r="E37" s="3">
        <f>IF(I37=0,0,VLOOKUP(M37/I37,部件升星消耗!$E$5:$F$7,2,TRUE))</f>
        <v>4</v>
      </c>
      <c r="F37" s="3">
        <f>IF(J37=0,0,VLOOKUP(N37/J37,部件升星消耗!$E$8:$F$10,2,TRUE))</f>
        <v>5</v>
      </c>
      <c r="G37" s="3">
        <f>IF(K37=0,0,VLOOKUP(O37/K37,部件升星消耗!$E$11:$F$13,2,TRUE))</f>
        <v>0</v>
      </c>
      <c r="H37" s="3">
        <f t="shared" si="6"/>
        <v>18</v>
      </c>
      <c r="I37" s="3">
        <f t="shared" si="7"/>
        <v>18</v>
      </c>
      <c r="J37" s="3">
        <f t="shared" si="8"/>
        <v>18</v>
      </c>
      <c r="K37" s="3">
        <f t="shared" si="9"/>
        <v>0</v>
      </c>
      <c r="L37" s="3">
        <f t="shared" si="10"/>
        <v>1691.9057400490469</v>
      </c>
      <c r="M37" s="3">
        <f t="shared" si="11"/>
        <v>676.76229601961893</v>
      </c>
      <c r="N37" s="3">
        <f t="shared" si="12"/>
        <v>355.30020541029995</v>
      </c>
      <c r="O37" s="3">
        <f t="shared" si="13"/>
        <v>0</v>
      </c>
      <c r="P37" s="3">
        <f t="shared" si="2"/>
        <v>2.4</v>
      </c>
      <c r="Q37" s="3">
        <f t="shared" si="3"/>
        <v>0.96000000000000008</v>
      </c>
      <c r="R37" s="3">
        <f t="shared" si="4"/>
        <v>0.504</v>
      </c>
      <c r="S37" s="3">
        <f t="shared" si="5"/>
        <v>0</v>
      </c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3">
        <f>IF(H38=0,0,VLOOKUP(L38/H38,部件升星消耗!$E$2:$F$4,2,TRUE))</f>
        <v>3</v>
      </c>
      <c r="E38" s="3">
        <f>IF(I38=0,0,VLOOKUP(M38/I38,部件升星消耗!$E$5:$F$7,2,TRUE))</f>
        <v>4</v>
      </c>
      <c r="F38" s="3">
        <f>IF(J38=0,0,VLOOKUP(N38/J38,部件升星消耗!$E$8:$F$10,2,TRUE))</f>
        <v>5</v>
      </c>
      <c r="G38" s="3">
        <f>IF(K38=0,0,VLOOKUP(O38/K38,部件升星消耗!$E$11:$F$13,2,TRUE))</f>
        <v>0</v>
      </c>
      <c r="H38" s="3">
        <f t="shared" si="6"/>
        <v>18</v>
      </c>
      <c r="I38" s="3">
        <f t="shared" si="7"/>
        <v>18</v>
      </c>
      <c r="J38" s="3">
        <f t="shared" si="8"/>
        <v>18</v>
      </c>
      <c r="K38" s="3">
        <f t="shared" si="9"/>
        <v>0</v>
      </c>
      <c r="L38" s="3">
        <f t="shared" si="10"/>
        <v>1822.4657400490469</v>
      </c>
      <c r="M38" s="3">
        <f t="shared" si="11"/>
        <v>728.98629601961898</v>
      </c>
      <c r="N38" s="3">
        <f t="shared" si="12"/>
        <v>382.71780541029995</v>
      </c>
      <c r="O38" s="3">
        <f t="shared" si="13"/>
        <v>0</v>
      </c>
      <c r="P38" s="3">
        <f t="shared" si="2"/>
        <v>2.4</v>
      </c>
      <c r="Q38" s="3">
        <f t="shared" si="3"/>
        <v>0.96000000000000008</v>
      </c>
      <c r="R38" s="3">
        <f t="shared" si="4"/>
        <v>0.504</v>
      </c>
      <c r="S38" s="3">
        <f t="shared" si="5"/>
        <v>0</v>
      </c>
    </row>
  </sheetData>
  <phoneticPr fontId="1" type="noConversion"/>
  <conditionalFormatting sqref="D2:F3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{DD6D85C3-220E-4995-B0A0-C7C8D8E8B8B2}</x14:id>
        </ext>
      </extLst>
    </cfRule>
  </conditionalFormatting>
  <conditionalFormatting sqref="G2:J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{491DFDCF-9F60-4FDE-8243-BD495C90D61B}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D85C3-220E-4995-B0A0-C7C8D8E8B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D2:F38</xm:sqref>
        </x14:conditionalFormatting>
        <x14:conditionalFormatting xmlns:xm="http://schemas.microsoft.com/office/excel/2006/main">
          <x14:cfRule type="dataBar" id="{491DFDCF-9F60-4FDE-8243-BD495C90D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G2:J38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S25"/>
  <sheetViews>
    <sheetView zoomScale="120" zoomScaleNormal="120" workbookViewId="0">
      <selection activeCell="D5" sqref="D5:D7"/>
    </sheetView>
  </sheetViews>
  <sheetFormatPr defaultColWidth="8.875" defaultRowHeight="14.25" x14ac:dyDescent="0.2"/>
  <cols>
    <col min="2" max="2" width="13" bestFit="1" customWidth="1"/>
    <col min="3" max="3" width="9" customWidth="1"/>
    <col min="10" max="10" width="4.625" customWidth="1"/>
  </cols>
  <sheetData>
    <row r="1" spans="1:19" x14ac:dyDescent="0.2">
      <c r="A1" s="1"/>
      <c r="B1" s="28" t="s">
        <v>980</v>
      </c>
      <c r="C1" s="29" t="s">
        <v>108</v>
      </c>
      <c r="D1" s="29" t="s">
        <v>802</v>
      </c>
      <c r="E1" s="29" t="s">
        <v>943</v>
      </c>
      <c r="F1" s="29" t="s">
        <v>944</v>
      </c>
      <c r="G1" s="29" t="s">
        <v>945</v>
      </c>
      <c r="H1" s="29" t="s">
        <v>946</v>
      </c>
      <c r="K1" s="55" t="s">
        <v>1097</v>
      </c>
      <c r="L1" s="1" t="s">
        <v>990</v>
      </c>
      <c r="M1" s="29" t="s">
        <v>108</v>
      </c>
      <c r="N1" s="29" t="s">
        <v>802</v>
      </c>
      <c r="O1" s="29" t="s">
        <v>943</v>
      </c>
      <c r="P1" s="29" t="s">
        <v>944</v>
      </c>
      <c r="Q1" s="29" t="s">
        <v>945</v>
      </c>
      <c r="R1" s="29" t="s">
        <v>946</v>
      </c>
    </row>
    <row r="2" spans="1:19" x14ac:dyDescent="0.2">
      <c r="A2" s="14" t="s">
        <v>975</v>
      </c>
      <c r="B2" s="3">
        <f>坦克升星成长线规划!Y2</f>
        <v>5.28</v>
      </c>
      <c r="C2" s="14">
        <f>$B2*M2</f>
        <v>1.056</v>
      </c>
      <c r="D2" s="14">
        <f t="shared" ref="D2:D7" si="0">$B2*N2</f>
        <v>1.056</v>
      </c>
      <c r="E2" s="14">
        <f t="shared" ref="E2:E7" si="1">$B2*O2</f>
        <v>1.056</v>
      </c>
      <c r="F2" s="14">
        <f t="shared" ref="F2:F7" si="2">$B2*P2</f>
        <v>1.056</v>
      </c>
      <c r="G2" s="14">
        <f t="shared" ref="G2:G7" si="3">$B2*Q2</f>
        <v>0</v>
      </c>
      <c r="H2" s="14">
        <f t="shared" ref="H2:H7" si="4">$B2*R2</f>
        <v>0.79200000000000004</v>
      </c>
      <c r="I2" s="22">
        <f t="shared" ref="I2:I6" si="5">B2-SUM(C2:H2)</f>
        <v>0.26400000000000023</v>
      </c>
      <c r="K2">
        <f>VLOOKUP(A2,宝箱规划!$A$14:$B$23,2,FALSE)</f>
        <v>30</v>
      </c>
      <c r="M2" s="3">
        <v>0.2</v>
      </c>
      <c r="N2" s="3">
        <v>0.2</v>
      </c>
      <c r="O2" s="3">
        <v>0.2</v>
      </c>
      <c r="P2" s="3">
        <v>0.2</v>
      </c>
      <c r="Q2" s="3">
        <v>0</v>
      </c>
      <c r="R2" s="3">
        <v>0.15</v>
      </c>
      <c r="S2">
        <f>SUM(M2:R2)</f>
        <v>0.95000000000000007</v>
      </c>
    </row>
    <row r="3" spans="1:19" x14ac:dyDescent="0.2">
      <c r="A3" s="14" t="s">
        <v>976</v>
      </c>
      <c r="B3" s="3">
        <f>坦克升星成长线规划!Y3</f>
        <v>2.5499999999999998</v>
      </c>
      <c r="C3" s="14">
        <f t="shared" ref="C3:C7" si="6">$B3*M3</f>
        <v>0.89249999999999985</v>
      </c>
      <c r="D3" s="14">
        <f t="shared" si="0"/>
        <v>0.7649999999999999</v>
      </c>
      <c r="E3" s="14">
        <f t="shared" si="1"/>
        <v>0.51</v>
      </c>
      <c r="F3" s="14">
        <f t="shared" si="2"/>
        <v>0.255</v>
      </c>
      <c r="G3" s="14">
        <f t="shared" si="3"/>
        <v>0</v>
      </c>
      <c r="H3" s="14">
        <f t="shared" si="4"/>
        <v>0</v>
      </c>
      <c r="I3" s="22">
        <f t="shared" si="5"/>
        <v>0.12750000000000039</v>
      </c>
      <c r="K3">
        <f>VLOOKUP(A3,宝箱规划!$A$14:$B$23,2,FALSE)</f>
        <v>45</v>
      </c>
      <c r="M3" s="3">
        <v>0.35</v>
      </c>
      <c r="N3" s="3">
        <v>0.3</v>
      </c>
      <c r="O3" s="3">
        <v>0.2</v>
      </c>
      <c r="P3" s="3">
        <v>0.1</v>
      </c>
      <c r="Q3" s="3">
        <v>0</v>
      </c>
      <c r="R3" s="3">
        <v>0</v>
      </c>
      <c r="S3">
        <f t="shared" ref="S3:S7" si="7">SUM(M3:R3)</f>
        <v>0.94999999999999984</v>
      </c>
    </row>
    <row r="4" spans="1:19" x14ac:dyDescent="0.2">
      <c r="A4" s="14" t="s">
        <v>977</v>
      </c>
      <c r="B4" s="3">
        <f>坦克升星成长线规划!Y4</f>
        <v>5.85</v>
      </c>
      <c r="C4" s="14">
        <f t="shared" si="6"/>
        <v>0.87749999999999995</v>
      </c>
      <c r="D4" s="14">
        <f t="shared" si="0"/>
        <v>1.0529999999999999</v>
      </c>
      <c r="E4" s="14">
        <f t="shared" si="1"/>
        <v>1.17</v>
      </c>
      <c r="F4" s="14">
        <f t="shared" si="2"/>
        <v>0.58499999999999996</v>
      </c>
      <c r="G4" s="14">
        <f t="shared" si="3"/>
        <v>0</v>
      </c>
      <c r="H4" s="14">
        <f t="shared" si="4"/>
        <v>0</v>
      </c>
      <c r="I4" s="22">
        <f t="shared" si="5"/>
        <v>2.1644999999999999</v>
      </c>
      <c r="K4">
        <f>VLOOKUP(A4,宝箱规划!$A$14:$B$23,2,FALSE)</f>
        <v>120</v>
      </c>
      <c r="M4" s="3">
        <v>0.15</v>
      </c>
      <c r="N4" s="3">
        <v>0.18</v>
      </c>
      <c r="O4" s="3">
        <v>0.2</v>
      </c>
      <c r="P4" s="3">
        <v>0.1</v>
      </c>
      <c r="Q4" s="3">
        <v>0</v>
      </c>
      <c r="R4" s="3">
        <v>0</v>
      </c>
      <c r="S4">
        <f t="shared" si="7"/>
        <v>0.63</v>
      </c>
    </row>
    <row r="5" spans="1:19" x14ac:dyDescent="0.2">
      <c r="A5" s="14" t="s">
        <v>978</v>
      </c>
      <c r="B5" s="3">
        <f>部件升星成长规划!AC2</f>
        <v>2.4</v>
      </c>
      <c r="C5" s="14">
        <f>$B5*M5</f>
        <v>1.1279999999999999</v>
      </c>
      <c r="D5" s="14">
        <f t="shared" si="0"/>
        <v>0.72</v>
      </c>
      <c r="E5" s="14">
        <f t="shared" si="1"/>
        <v>0.36</v>
      </c>
      <c r="F5" s="14">
        <f t="shared" si="2"/>
        <v>0.12</v>
      </c>
      <c r="G5" s="14">
        <f t="shared" si="3"/>
        <v>0</v>
      </c>
      <c r="H5" s="14">
        <f t="shared" si="4"/>
        <v>0</v>
      </c>
      <c r="I5" s="22">
        <f t="shared" si="5"/>
        <v>7.2000000000000064E-2</v>
      </c>
      <c r="K5">
        <f>VLOOKUP(A5,宝箱规划!$A$14:$B$23,2,FALSE)</f>
        <v>10</v>
      </c>
      <c r="M5" s="3">
        <v>0.47</v>
      </c>
      <c r="N5" s="3">
        <v>0.3</v>
      </c>
      <c r="O5" s="3">
        <v>0.15</v>
      </c>
      <c r="P5" s="3">
        <v>0.05</v>
      </c>
      <c r="Q5" s="3">
        <v>0</v>
      </c>
      <c r="R5" s="3">
        <v>0</v>
      </c>
      <c r="S5">
        <f t="shared" si="7"/>
        <v>0.97000000000000008</v>
      </c>
    </row>
    <row r="6" spans="1:19" x14ac:dyDescent="0.2">
      <c r="A6" s="14" t="s">
        <v>979</v>
      </c>
      <c r="B6" s="3">
        <f>部件升星成长规划!AC3</f>
        <v>0.96000000000000008</v>
      </c>
      <c r="C6" s="14">
        <f t="shared" si="6"/>
        <v>0.36480000000000001</v>
      </c>
      <c r="D6" s="14">
        <f t="shared" si="0"/>
        <v>0.23040000000000002</v>
      </c>
      <c r="E6" s="14">
        <f t="shared" si="1"/>
        <v>0.14400000000000002</v>
      </c>
      <c r="F6" s="14">
        <f t="shared" si="2"/>
        <v>0.24000000000000002</v>
      </c>
      <c r="G6" s="14">
        <f t="shared" si="3"/>
        <v>0</v>
      </c>
      <c r="H6" s="14">
        <f t="shared" si="4"/>
        <v>0</v>
      </c>
      <c r="I6" s="22">
        <f t="shared" si="5"/>
        <v>-1.9199999999999995E-2</v>
      </c>
      <c r="K6">
        <f>VLOOKUP(A6,宝箱规划!$A$14:$B$23,2,FALSE)</f>
        <v>50</v>
      </c>
      <c r="M6" s="3">
        <v>0.38</v>
      </c>
      <c r="N6" s="3">
        <v>0.24</v>
      </c>
      <c r="O6" s="3">
        <v>0.15</v>
      </c>
      <c r="P6" s="3">
        <v>0.25</v>
      </c>
      <c r="Q6" s="3">
        <v>0</v>
      </c>
      <c r="R6" s="3">
        <v>0</v>
      </c>
      <c r="S6">
        <f t="shared" si="7"/>
        <v>1.02</v>
      </c>
    </row>
    <row r="7" spans="1:19" x14ac:dyDescent="0.2">
      <c r="A7" s="25" t="s">
        <v>981</v>
      </c>
      <c r="B7" s="3">
        <f>部件升星成长规划!AC4</f>
        <v>0.504</v>
      </c>
      <c r="C7" s="14">
        <f t="shared" si="6"/>
        <v>0.19152</v>
      </c>
      <c r="D7" s="14">
        <f t="shared" si="0"/>
        <v>0.12096</v>
      </c>
      <c r="E7" s="14">
        <f t="shared" si="1"/>
        <v>7.5600000000000001E-2</v>
      </c>
      <c r="F7" s="14">
        <f t="shared" si="2"/>
        <v>0.126</v>
      </c>
      <c r="G7" s="14">
        <f t="shared" si="3"/>
        <v>0</v>
      </c>
      <c r="H7" s="14">
        <f t="shared" si="4"/>
        <v>0</v>
      </c>
      <c r="I7" s="22">
        <f t="shared" ref="I7" si="8">B7-SUM(C7:H7)</f>
        <v>-1.0079999999999978E-2</v>
      </c>
      <c r="K7">
        <f>VLOOKUP(A7,宝箱规划!$A$14:$B$23,2,FALSE)</f>
        <v>100</v>
      </c>
      <c r="M7" s="3">
        <v>0.38</v>
      </c>
      <c r="N7" s="3">
        <v>0.24</v>
      </c>
      <c r="O7" s="3">
        <v>0.15</v>
      </c>
      <c r="P7" s="3">
        <v>0.25</v>
      </c>
      <c r="Q7" s="3">
        <v>0</v>
      </c>
      <c r="R7" s="3">
        <v>0</v>
      </c>
      <c r="S7">
        <f t="shared" si="7"/>
        <v>1.02</v>
      </c>
    </row>
    <row r="8" spans="1:19" x14ac:dyDescent="0.2">
      <c r="C8">
        <f>SUMPRODUCT(C2:C7,$K$2:$K$7)</f>
        <v>225.81450000000001</v>
      </c>
      <c r="D8">
        <f t="shared" ref="D8:H8" si="9">SUMPRODUCT(D2:D7,$K$2:$K$7)</f>
        <v>223.28099999999998</v>
      </c>
      <c r="E8">
        <f t="shared" si="9"/>
        <v>213.38999999999996</v>
      </c>
      <c r="F8">
        <f t="shared" si="9"/>
        <v>139.155</v>
      </c>
      <c r="G8">
        <f t="shared" si="9"/>
        <v>0</v>
      </c>
      <c r="H8">
        <f t="shared" si="9"/>
        <v>23.76</v>
      </c>
    </row>
    <row r="10" spans="1:19" x14ac:dyDescent="0.2">
      <c r="A10" s="1"/>
      <c r="B10" s="28" t="s">
        <v>980</v>
      </c>
      <c r="C10" s="29" t="s">
        <v>108</v>
      </c>
      <c r="D10" s="29" t="s">
        <v>802</v>
      </c>
      <c r="E10" s="29" t="s">
        <v>943</v>
      </c>
      <c r="F10" s="29" t="s">
        <v>944</v>
      </c>
      <c r="G10" s="29" t="s">
        <v>945</v>
      </c>
      <c r="H10" s="29" t="s">
        <v>946</v>
      </c>
      <c r="K10" s="55" t="s">
        <v>1099</v>
      </c>
      <c r="L10" s="1" t="s">
        <v>990</v>
      </c>
      <c r="M10" s="29" t="s">
        <v>108</v>
      </c>
      <c r="N10" s="29" t="s">
        <v>802</v>
      </c>
      <c r="O10" s="29" t="s">
        <v>943</v>
      </c>
      <c r="P10" s="29" t="s">
        <v>944</v>
      </c>
      <c r="Q10" s="29" t="s">
        <v>945</v>
      </c>
      <c r="R10" s="29" t="s">
        <v>946</v>
      </c>
    </row>
    <row r="11" spans="1:19" x14ac:dyDescent="0.2">
      <c r="A11" s="14" t="s">
        <v>975</v>
      </c>
      <c r="B11" s="3">
        <f>坦克升星成长线规划!Y2</f>
        <v>5.28</v>
      </c>
      <c r="C11" s="14">
        <f>$B11*M11</f>
        <v>0</v>
      </c>
      <c r="D11" s="14">
        <f t="shared" ref="D11:H16" si="10">$B11*N11</f>
        <v>0</v>
      </c>
      <c r="E11" s="14">
        <f t="shared" si="10"/>
        <v>0</v>
      </c>
      <c r="F11" s="14">
        <f t="shared" si="10"/>
        <v>0</v>
      </c>
      <c r="G11" s="14">
        <f t="shared" si="10"/>
        <v>0</v>
      </c>
      <c r="H11" s="14">
        <f t="shared" si="10"/>
        <v>0.79200000000000004</v>
      </c>
      <c r="I11" s="22">
        <f t="shared" ref="I11:I15" si="11">B11-SUM(C11:H11)</f>
        <v>4.4880000000000004</v>
      </c>
      <c r="K11">
        <f>VLOOKUP(A11,宝箱规划!$A$14:$B$23,2,FALSE)</f>
        <v>30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0.15</v>
      </c>
      <c r="S11">
        <f>SUM(M11:R11)</f>
        <v>0.15</v>
      </c>
    </row>
    <row r="12" spans="1:19" x14ac:dyDescent="0.2">
      <c r="A12" s="14" t="s">
        <v>976</v>
      </c>
      <c r="B12" s="3">
        <f>坦克升星成长线规划!Y3</f>
        <v>2.5499999999999998</v>
      </c>
      <c r="C12" s="14">
        <f t="shared" ref="C12:C16" si="12">$B12*M12</f>
        <v>0.89249999999999985</v>
      </c>
      <c r="D12" s="14">
        <f t="shared" si="10"/>
        <v>0.7649999999999999</v>
      </c>
      <c r="E12" s="14">
        <f t="shared" si="10"/>
        <v>0.51</v>
      </c>
      <c r="F12" s="14">
        <f t="shared" si="10"/>
        <v>0.255</v>
      </c>
      <c r="G12" s="14">
        <f t="shared" si="10"/>
        <v>0</v>
      </c>
      <c r="H12" s="14">
        <f t="shared" si="10"/>
        <v>0.38249999999999995</v>
      </c>
      <c r="I12" s="22">
        <f t="shared" si="11"/>
        <v>-0.25499999999999945</v>
      </c>
      <c r="K12">
        <f>VLOOKUP(A12,宝箱规划!$A$14:$B$23,2,FALSE)</f>
        <v>45</v>
      </c>
      <c r="M12" s="3">
        <v>0.35</v>
      </c>
      <c r="N12" s="3">
        <v>0.3</v>
      </c>
      <c r="O12" s="3">
        <v>0.2</v>
      </c>
      <c r="P12" s="3">
        <v>0.1</v>
      </c>
      <c r="Q12" s="3">
        <v>0</v>
      </c>
      <c r="R12" s="3">
        <v>0.15</v>
      </c>
      <c r="S12">
        <f t="shared" ref="S12:S16" si="13">SUM(M12:R12)</f>
        <v>1.0999999999999999</v>
      </c>
    </row>
    <row r="13" spans="1:19" x14ac:dyDescent="0.2">
      <c r="A13" s="14" t="s">
        <v>977</v>
      </c>
      <c r="B13" s="3">
        <f>坦克升星成长线规划!Y4</f>
        <v>5.85</v>
      </c>
      <c r="C13" s="14">
        <f t="shared" si="12"/>
        <v>0.87749999999999995</v>
      </c>
      <c r="D13" s="14">
        <f t="shared" si="10"/>
        <v>1.0529999999999999</v>
      </c>
      <c r="E13" s="14">
        <f t="shared" si="10"/>
        <v>1.17</v>
      </c>
      <c r="F13" s="14">
        <f t="shared" si="10"/>
        <v>1.7549999999999999</v>
      </c>
      <c r="G13" s="14">
        <f t="shared" si="10"/>
        <v>0</v>
      </c>
      <c r="H13" s="14">
        <f t="shared" si="10"/>
        <v>0.58499999999999996</v>
      </c>
      <c r="I13" s="22">
        <f t="shared" si="11"/>
        <v>0.40950000000000042</v>
      </c>
      <c r="K13">
        <f>VLOOKUP(A13,宝箱规划!$A$14:$B$23,2,FALSE)</f>
        <v>120</v>
      </c>
      <c r="M13" s="3">
        <v>0.15</v>
      </c>
      <c r="N13" s="3">
        <v>0.18</v>
      </c>
      <c r="O13" s="3">
        <v>0.2</v>
      </c>
      <c r="P13" s="3">
        <v>0.3</v>
      </c>
      <c r="Q13" s="3">
        <v>0</v>
      </c>
      <c r="R13" s="3">
        <v>0.1</v>
      </c>
      <c r="S13">
        <f t="shared" si="13"/>
        <v>0.93</v>
      </c>
    </row>
    <row r="14" spans="1:19" x14ac:dyDescent="0.2">
      <c r="A14" s="14" t="s">
        <v>978</v>
      </c>
      <c r="B14" s="3">
        <f>部件升星成长规划!AC2</f>
        <v>2.4</v>
      </c>
      <c r="C14" s="14">
        <f t="shared" si="12"/>
        <v>1.1279999999999999</v>
      </c>
      <c r="D14" s="14">
        <f t="shared" si="10"/>
        <v>0.72</v>
      </c>
      <c r="E14" s="14">
        <f t="shared" si="10"/>
        <v>0.36</v>
      </c>
      <c r="F14" s="14">
        <f t="shared" si="10"/>
        <v>0.12</v>
      </c>
      <c r="G14" s="14">
        <f t="shared" si="10"/>
        <v>0</v>
      </c>
      <c r="H14" s="14">
        <f t="shared" si="10"/>
        <v>0</v>
      </c>
      <c r="I14" s="22">
        <f t="shared" si="11"/>
        <v>7.2000000000000064E-2</v>
      </c>
      <c r="K14">
        <f>VLOOKUP(A14,宝箱规划!$A$14:$B$23,2,FALSE)</f>
        <v>10</v>
      </c>
      <c r="M14" s="3">
        <v>0.47</v>
      </c>
      <c r="N14" s="3">
        <v>0.3</v>
      </c>
      <c r="O14" s="3">
        <v>0.15</v>
      </c>
      <c r="P14" s="3">
        <v>0.05</v>
      </c>
      <c r="Q14" s="3">
        <v>0</v>
      </c>
      <c r="R14" s="3">
        <v>0</v>
      </c>
      <c r="S14">
        <f t="shared" si="13"/>
        <v>0.97000000000000008</v>
      </c>
    </row>
    <row r="15" spans="1:19" x14ac:dyDescent="0.2">
      <c r="A15" s="14" t="s">
        <v>979</v>
      </c>
      <c r="B15" s="3">
        <f>部件升星成长规划!AC3</f>
        <v>0.96000000000000008</v>
      </c>
      <c r="C15" s="14">
        <f t="shared" si="12"/>
        <v>0.26879999999999998</v>
      </c>
      <c r="D15" s="14">
        <f t="shared" si="10"/>
        <v>0.23040000000000002</v>
      </c>
      <c r="E15" s="14">
        <f t="shared" si="10"/>
        <v>0.14400000000000002</v>
      </c>
      <c r="F15" s="14">
        <f t="shared" si="10"/>
        <v>0.24000000000000002</v>
      </c>
      <c r="G15" s="14">
        <f t="shared" si="10"/>
        <v>0</v>
      </c>
      <c r="H15" s="14">
        <f t="shared" si="10"/>
        <v>9.6000000000000016E-2</v>
      </c>
      <c r="I15" s="22">
        <f t="shared" si="11"/>
        <v>-1.9199999999999884E-2</v>
      </c>
      <c r="K15">
        <f>VLOOKUP(A15,宝箱规划!$A$14:$B$23,2,FALSE)</f>
        <v>50</v>
      </c>
      <c r="M15" s="3">
        <v>0.27999999999999997</v>
      </c>
      <c r="N15" s="3">
        <v>0.24</v>
      </c>
      <c r="O15" s="3">
        <v>0.15</v>
      </c>
      <c r="P15" s="3">
        <v>0.25</v>
      </c>
      <c r="Q15" s="3">
        <v>0</v>
      </c>
      <c r="R15" s="3">
        <v>0.1</v>
      </c>
      <c r="S15">
        <f t="shared" si="13"/>
        <v>1.02</v>
      </c>
    </row>
    <row r="16" spans="1:19" x14ac:dyDescent="0.2">
      <c r="A16" s="25" t="s">
        <v>981</v>
      </c>
      <c r="B16" s="3">
        <f>部件升星成长规划!AC4</f>
        <v>0.504</v>
      </c>
      <c r="C16" s="14">
        <f t="shared" si="12"/>
        <v>0.14112</v>
      </c>
      <c r="D16" s="14">
        <f t="shared" si="10"/>
        <v>0.12096</v>
      </c>
      <c r="E16" s="14">
        <f t="shared" si="10"/>
        <v>7.5600000000000001E-2</v>
      </c>
      <c r="F16" s="14">
        <f t="shared" si="10"/>
        <v>0.126</v>
      </c>
      <c r="G16" s="14">
        <f t="shared" si="10"/>
        <v>0</v>
      </c>
      <c r="H16" s="14">
        <f t="shared" si="10"/>
        <v>5.04E-2</v>
      </c>
      <c r="I16" s="22">
        <f t="shared" ref="I16" si="14">B16-SUM(C16:H16)</f>
        <v>-1.0079999999999978E-2</v>
      </c>
      <c r="K16">
        <f>VLOOKUP(A16,宝箱规划!$A$14:$B$23,2,FALSE)</f>
        <v>100</v>
      </c>
      <c r="M16" s="3">
        <v>0.27999999999999997</v>
      </c>
      <c r="N16" s="3">
        <v>0.24</v>
      </c>
      <c r="O16" s="3">
        <v>0.15</v>
      </c>
      <c r="P16" s="3">
        <v>0.25</v>
      </c>
      <c r="Q16" s="3">
        <v>0</v>
      </c>
      <c r="R16" s="3">
        <v>0.1</v>
      </c>
      <c r="S16">
        <f t="shared" si="13"/>
        <v>1.02</v>
      </c>
    </row>
    <row r="17" spans="1:9" x14ac:dyDescent="0.2">
      <c r="C17">
        <f>SUMPRODUCT(C11:C16,$K$11:$K$16)</f>
        <v>184.29449999999997</v>
      </c>
      <c r="D17">
        <f t="shared" ref="D17:H17" si="15">SUMPRODUCT(D11:D16,$K$11:$K$16)</f>
        <v>191.60099999999997</v>
      </c>
      <c r="E17">
        <f t="shared" si="15"/>
        <v>181.70999999999995</v>
      </c>
      <c r="F17">
        <f t="shared" si="15"/>
        <v>247.87499999999997</v>
      </c>
      <c r="G17">
        <f t="shared" si="15"/>
        <v>0</v>
      </c>
      <c r="H17">
        <f t="shared" si="15"/>
        <v>121.01249999999999</v>
      </c>
    </row>
    <row r="22" spans="1:9" x14ac:dyDescent="0.2">
      <c r="A22" s="3" t="s">
        <v>986</v>
      </c>
      <c r="B22" s="14">
        <f>SUMPRODUCT(B11:B16,K11:K16)</f>
        <v>1097.5500000000002</v>
      </c>
      <c r="I22" s="62"/>
    </row>
    <row r="23" spans="1:9" x14ac:dyDescent="0.2">
      <c r="I23" s="62"/>
    </row>
    <row r="24" spans="1:9" x14ac:dyDescent="0.2">
      <c r="I24" s="62"/>
    </row>
    <row r="25" spans="1:9" x14ac:dyDescent="0.2">
      <c r="I25" s="62"/>
    </row>
  </sheetData>
  <phoneticPr fontId="1" type="noConversion"/>
  <conditionalFormatting sqref="M11:R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AC36"/>
  <sheetViews>
    <sheetView tabSelected="1" zoomScale="120" zoomScaleNormal="120" workbookViewId="0">
      <selection activeCell="O21" sqref="O21"/>
    </sheetView>
  </sheetViews>
  <sheetFormatPr defaultColWidth="8.875" defaultRowHeight="14.25" x14ac:dyDescent="0.2"/>
  <cols>
    <col min="1" max="1" width="10" bestFit="1" customWidth="1"/>
    <col min="15" max="15" width="9.125" customWidth="1"/>
    <col min="21" max="21" width="9.125" customWidth="1"/>
  </cols>
  <sheetData>
    <row r="1" spans="1:23" x14ac:dyDescent="0.2">
      <c r="A1" s="2" t="s">
        <v>105</v>
      </c>
      <c r="B1" s="2" t="s">
        <v>106</v>
      </c>
      <c r="C1" s="2" t="s">
        <v>987</v>
      </c>
      <c r="D1" s="2" t="s">
        <v>988</v>
      </c>
      <c r="E1" s="2" t="s">
        <v>989</v>
      </c>
      <c r="F1" s="2" t="s">
        <v>107</v>
      </c>
      <c r="G1" s="2" t="s">
        <v>974</v>
      </c>
      <c r="I1" s="2" t="s">
        <v>1097</v>
      </c>
      <c r="J1" s="3" t="s">
        <v>108</v>
      </c>
      <c r="K1" s="3" t="s">
        <v>802</v>
      </c>
      <c r="N1" s="3" t="s">
        <v>1006</v>
      </c>
      <c r="O1" s="3" t="s">
        <v>1009</v>
      </c>
      <c r="P1" s="3" t="s">
        <v>1007</v>
      </c>
      <c r="Q1" s="3" t="s">
        <v>1008</v>
      </c>
      <c r="T1" s="3" t="s">
        <v>1010</v>
      </c>
      <c r="U1" s="3" t="s">
        <v>1009</v>
      </c>
      <c r="V1" s="3" t="s">
        <v>1007</v>
      </c>
      <c r="W1" s="3" t="s">
        <v>1008</v>
      </c>
    </row>
    <row r="2" spans="1:23" x14ac:dyDescent="0.2">
      <c r="A2" s="3" t="s">
        <v>108</v>
      </c>
      <c r="B2" s="3">
        <v>125</v>
      </c>
      <c r="C2" s="3">
        <v>210</v>
      </c>
      <c r="D2" s="3">
        <v>3</v>
      </c>
      <c r="E2" s="3">
        <f>B2-C2/50-D2</f>
        <v>117.8</v>
      </c>
      <c r="F2" s="3">
        <v>2</v>
      </c>
      <c r="G2" s="3">
        <v>2</v>
      </c>
      <c r="I2" s="3" t="s">
        <v>875</v>
      </c>
      <c r="J2" s="14">
        <v>1.056</v>
      </c>
      <c r="K2" s="14">
        <v>1.056</v>
      </c>
      <c r="N2" s="3" t="s">
        <v>875</v>
      </c>
      <c r="O2" s="3">
        <v>4</v>
      </c>
      <c r="P2" s="33">
        <f t="shared" ref="P2:P10" si="0">IF(Q2=0,0,(J2/Q2)/O2)</f>
        <v>0.13200000000000001</v>
      </c>
      <c r="Q2" s="3">
        <v>2</v>
      </c>
      <c r="T2" s="3" t="s">
        <v>875</v>
      </c>
      <c r="U2" s="3">
        <v>3</v>
      </c>
      <c r="V2" s="33">
        <f t="shared" ref="V2:V10" si="1">IF(W2=0,0,(K2/W2)/U2)</f>
        <v>0.35200000000000004</v>
      </c>
      <c r="W2" s="3">
        <v>1</v>
      </c>
    </row>
    <row r="3" spans="1:23" x14ac:dyDescent="0.2">
      <c r="A3" s="3" t="s">
        <v>865</v>
      </c>
      <c r="B3" s="3">
        <v>200</v>
      </c>
      <c r="C3" s="3">
        <v>0</v>
      </c>
      <c r="D3" s="3">
        <v>5</v>
      </c>
      <c r="E3" s="3">
        <f t="shared" ref="E3:E12" si="2">B3-C3/50-D3</f>
        <v>195</v>
      </c>
      <c r="F3" s="3">
        <v>3</v>
      </c>
      <c r="G3" s="3">
        <v>1</v>
      </c>
      <c r="I3" s="3" t="s">
        <v>876</v>
      </c>
      <c r="J3" s="14">
        <v>0.89249999999999985</v>
      </c>
      <c r="K3" s="14">
        <v>0.7649999999999999</v>
      </c>
      <c r="N3" s="3" t="s">
        <v>876</v>
      </c>
      <c r="O3" s="3">
        <v>4</v>
      </c>
      <c r="P3" s="33">
        <f t="shared" si="0"/>
        <v>0.22312499999999996</v>
      </c>
      <c r="Q3" s="3">
        <v>1</v>
      </c>
      <c r="T3" s="3" t="s">
        <v>876</v>
      </c>
      <c r="U3" s="3">
        <v>3</v>
      </c>
      <c r="V3" s="33">
        <f t="shared" si="1"/>
        <v>0.25499999999999995</v>
      </c>
      <c r="W3" s="3">
        <v>1</v>
      </c>
    </row>
    <row r="4" spans="1:23" x14ac:dyDescent="0.2">
      <c r="A4" s="3" t="s">
        <v>109</v>
      </c>
      <c r="B4" s="3">
        <v>54</v>
      </c>
      <c r="C4" s="3">
        <v>0</v>
      </c>
      <c r="D4" s="3">
        <v>0</v>
      </c>
      <c r="E4" s="3">
        <f t="shared" si="2"/>
        <v>54</v>
      </c>
      <c r="F4" s="3">
        <v>1</v>
      </c>
      <c r="G4" s="3">
        <v>1</v>
      </c>
      <c r="I4" s="3" t="s">
        <v>877</v>
      </c>
      <c r="J4" s="14">
        <v>0.87749999999999995</v>
      </c>
      <c r="K4" s="14">
        <v>1.0529999999999999</v>
      </c>
      <c r="N4" s="3" t="s">
        <v>877</v>
      </c>
      <c r="O4" s="3">
        <v>4</v>
      </c>
      <c r="P4" s="33">
        <f t="shared" si="0"/>
        <v>0.21937499999999999</v>
      </c>
      <c r="Q4" s="3">
        <v>1</v>
      </c>
      <c r="T4" s="3" t="s">
        <v>877</v>
      </c>
      <c r="U4" s="3">
        <v>3</v>
      </c>
      <c r="V4" s="33">
        <f t="shared" si="1"/>
        <v>0.35099999999999998</v>
      </c>
      <c r="W4" s="3">
        <v>1</v>
      </c>
    </row>
    <row r="5" spans="1:23" x14ac:dyDescent="0.2">
      <c r="A5" s="3" t="s">
        <v>110</v>
      </c>
      <c r="B5" s="3">
        <v>108</v>
      </c>
      <c r="C5" s="3">
        <v>0</v>
      </c>
      <c r="D5" s="3">
        <v>0</v>
      </c>
      <c r="E5" s="3">
        <f t="shared" si="2"/>
        <v>108</v>
      </c>
      <c r="F5" s="3">
        <v>2</v>
      </c>
      <c r="G5" s="5">
        <v>1</v>
      </c>
      <c r="I5" s="3" t="s">
        <v>878</v>
      </c>
      <c r="J5" s="14">
        <v>0</v>
      </c>
      <c r="K5" s="14">
        <v>0</v>
      </c>
      <c r="N5" s="3" t="s">
        <v>878</v>
      </c>
      <c r="O5" s="3">
        <v>4</v>
      </c>
      <c r="P5" s="33">
        <f t="shared" si="0"/>
        <v>0</v>
      </c>
      <c r="Q5" s="3">
        <v>0</v>
      </c>
      <c r="T5" s="3" t="s">
        <v>878</v>
      </c>
      <c r="U5" s="3">
        <v>3</v>
      </c>
      <c r="V5" s="33">
        <f t="shared" si="1"/>
        <v>0</v>
      </c>
      <c r="W5" s="3">
        <v>0</v>
      </c>
    </row>
    <row r="6" spans="1:23" x14ac:dyDescent="0.2">
      <c r="A6" s="3" t="s">
        <v>111</v>
      </c>
      <c r="B6" s="3">
        <v>216</v>
      </c>
      <c r="C6" s="3">
        <v>0</v>
      </c>
      <c r="D6" s="3">
        <v>0</v>
      </c>
      <c r="E6" s="3">
        <f t="shared" si="2"/>
        <v>216</v>
      </c>
      <c r="F6" s="3">
        <v>3</v>
      </c>
      <c r="G6" s="5">
        <v>1</v>
      </c>
      <c r="I6" s="3" t="s">
        <v>879</v>
      </c>
      <c r="J6" s="14">
        <v>0</v>
      </c>
      <c r="K6" s="14">
        <v>0</v>
      </c>
      <c r="N6" s="3" t="s">
        <v>879</v>
      </c>
      <c r="O6" s="3">
        <v>4</v>
      </c>
      <c r="P6" s="33">
        <f t="shared" si="0"/>
        <v>0</v>
      </c>
      <c r="Q6" s="3">
        <v>0</v>
      </c>
      <c r="T6" s="3" t="s">
        <v>879</v>
      </c>
      <c r="U6" s="3">
        <v>3</v>
      </c>
      <c r="V6" s="33">
        <f t="shared" si="1"/>
        <v>0</v>
      </c>
      <c r="W6" s="3">
        <v>0</v>
      </c>
    </row>
    <row r="7" spans="1:23" x14ac:dyDescent="0.2">
      <c r="A7" s="3" t="s">
        <v>112</v>
      </c>
      <c r="B7" s="3">
        <v>432</v>
      </c>
      <c r="C7" s="3">
        <v>0</v>
      </c>
      <c r="D7" s="3">
        <v>0</v>
      </c>
      <c r="E7" s="3">
        <f t="shared" si="2"/>
        <v>432</v>
      </c>
      <c r="F7" s="3">
        <v>4</v>
      </c>
      <c r="G7" s="5">
        <v>1</v>
      </c>
      <c r="I7" s="3" t="s">
        <v>880</v>
      </c>
      <c r="J7" s="14">
        <v>1.1279999999999999</v>
      </c>
      <c r="K7" s="14">
        <v>0.72</v>
      </c>
      <c r="N7" s="3" t="s">
        <v>880</v>
      </c>
      <c r="O7" s="3">
        <v>4</v>
      </c>
      <c r="P7" s="33">
        <f t="shared" si="0"/>
        <v>0.28199999999999997</v>
      </c>
      <c r="Q7" s="3">
        <v>1</v>
      </c>
      <c r="T7" s="3" t="s">
        <v>880</v>
      </c>
      <c r="U7" s="3">
        <v>3</v>
      </c>
      <c r="V7" s="33">
        <f t="shared" si="1"/>
        <v>0.24</v>
      </c>
      <c r="W7" s="3">
        <v>1</v>
      </c>
    </row>
    <row r="8" spans="1:23" x14ac:dyDescent="0.2">
      <c r="A8" s="3" t="s">
        <v>115</v>
      </c>
      <c r="B8" s="3">
        <v>200</v>
      </c>
      <c r="C8" s="3">
        <v>1600</v>
      </c>
      <c r="D8" s="3">
        <v>0</v>
      </c>
      <c r="E8" s="3">
        <f t="shared" si="2"/>
        <v>168</v>
      </c>
      <c r="F8" s="3">
        <v>2</v>
      </c>
      <c r="G8" s="5">
        <v>0</v>
      </c>
      <c r="I8" s="3" t="s">
        <v>881</v>
      </c>
      <c r="J8" s="14">
        <v>0.36480000000000001</v>
      </c>
      <c r="K8" s="14">
        <v>0.23040000000000002</v>
      </c>
      <c r="N8" s="3" t="s">
        <v>881</v>
      </c>
      <c r="O8" s="3">
        <v>4</v>
      </c>
      <c r="P8" s="33">
        <f t="shared" si="0"/>
        <v>9.1200000000000003E-2</v>
      </c>
      <c r="Q8" s="3">
        <v>1</v>
      </c>
      <c r="T8" s="3" t="s">
        <v>881</v>
      </c>
      <c r="U8" s="3">
        <v>3</v>
      </c>
      <c r="V8" s="33">
        <f t="shared" si="1"/>
        <v>7.6800000000000007E-2</v>
      </c>
      <c r="W8" s="3">
        <v>1</v>
      </c>
    </row>
    <row r="9" spans="1:23" x14ac:dyDescent="0.2">
      <c r="A9" s="3" t="s">
        <v>116</v>
      </c>
      <c r="B9" s="3">
        <v>600</v>
      </c>
      <c r="C9" s="3">
        <v>5000</v>
      </c>
      <c r="D9" s="3">
        <v>0</v>
      </c>
      <c r="E9" s="3">
        <f t="shared" si="2"/>
        <v>500</v>
      </c>
      <c r="F9" s="3">
        <v>3</v>
      </c>
      <c r="G9" s="5">
        <v>0</v>
      </c>
      <c r="I9" s="3" t="s">
        <v>882</v>
      </c>
      <c r="J9" s="14">
        <v>0.19152</v>
      </c>
      <c r="K9" s="14">
        <v>0.12096</v>
      </c>
      <c r="N9" s="3" t="s">
        <v>882</v>
      </c>
      <c r="O9" s="3">
        <v>4</v>
      </c>
      <c r="P9" s="33">
        <f t="shared" si="0"/>
        <v>4.7879999999999999E-2</v>
      </c>
      <c r="Q9" s="3">
        <v>1</v>
      </c>
      <c r="T9" s="3" t="s">
        <v>882</v>
      </c>
      <c r="U9" s="3">
        <v>3</v>
      </c>
      <c r="V9" s="33">
        <f t="shared" si="1"/>
        <v>4.0320000000000002E-2</v>
      </c>
      <c r="W9" s="3">
        <v>1</v>
      </c>
    </row>
    <row r="10" spans="1:23" x14ac:dyDescent="0.2">
      <c r="A10" s="3" t="s">
        <v>117</v>
      </c>
      <c r="B10" s="3">
        <v>2000</v>
      </c>
      <c r="C10" s="3">
        <v>18000</v>
      </c>
      <c r="D10" s="3">
        <v>0</v>
      </c>
      <c r="E10" s="3">
        <f t="shared" si="2"/>
        <v>1640</v>
      </c>
      <c r="F10" s="3">
        <v>6</v>
      </c>
      <c r="G10" s="5">
        <v>0</v>
      </c>
      <c r="I10" s="3" t="s">
        <v>883</v>
      </c>
      <c r="J10" s="14">
        <v>0</v>
      </c>
      <c r="K10" s="14">
        <v>0</v>
      </c>
      <c r="N10" s="3" t="s">
        <v>883</v>
      </c>
      <c r="O10" s="3">
        <v>4</v>
      </c>
      <c r="P10" s="33">
        <f t="shared" si="0"/>
        <v>0</v>
      </c>
      <c r="Q10" s="3">
        <v>0</v>
      </c>
      <c r="T10" s="3" t="s">
        <v>883</v>
      </c>
      <c r="U10" s="3">
        <v>3</v>
      </c>
      <c r="V10" s="33">
        <f t="shared" si="1"/>
        <v>0</v>
      </c>
      <c r="W10" s="3">
        <v>0</v>
      </c>
    </row>
    <row r="11" spans="1:23" x14ac:dyDescent="0.2">
      <c r="A11" s="3" t="s">
        <v>113</v>
      </c>
      <c r="B11" s="3">
        <v>100</v>
      </c>
      <c r="C11" s="3">
        <v>0</v>
      </c>
      <c r="D11" s="3">
        <v>0</v>
      </c>
      <c r="E11" s="3">
        <f t="shared" si="2"/>
        <v>100</v>
      </c>
      <c r="F11" s="3">
        <v>2</v>
      </c>
      <c r="G11" s="5">
        <v>0</v>
      </c>
      <c r="J11">
        <f>SUMPRODUCT(J2:J10,$B$15:$B$23)</f>
        <v>225.81450000000001</v>
      </c>
      <c r="K11">
        <f>SUMPRODUCT(K2:K10,$B$15:$B$23)</f>
        <v>223.28099999999998</v>
      </c>
      <c r="N11" s="9"/>
      <c r="O11" s="9"/>
      <c r="P11" s="40">
        <f>SUM(P2:P10)</f>
        <v>0.99558000000000002</v>
      </c>
      <c r="Q11" s="9"/>
      <c r="T11" s="9"/>
      <c r="U11" s="9"/>
      <c r="V11" s="40">
        <f>SUM(V2:V10)</f>
        <v>1.3151199999999998</v>
      </c>
      <c r="W11" s="9"/>
    </row>
    <row r="12" spans="1:23" x14ac:dyDescent="0.2">
      <c r="A12" s="3" t="s">
        <v>114</v>
      </c>
      <c r="B12" s="3">
        <v>100</v>
      </c>
      <c r="C12" s="3">
        <v>0</v>
      </c>
      <c r="D12" s="3">
        <v>0</v>
      </c>
      <c r="E12" s="3">
        <f t="shared" si="2"/>
        <v>100</v>
      </c>
      <c r="F12" s="3">
        <v>2</v>
      </c>
      <c r="G12" s="5">
        <v>0</v>
      </c>
    </row>
    <row r="14" spans="1:23" x14ac:dyDescent="0.2">
      <c r="A14" s="2" t="s">
        <v>985</v>
      </c>
      <c r="B14" s="2" t="s">
        <v>1082</v>
      </c>
      <c r="C14" s="1"/>
      <c r="D14" s="1"/>
      <c r="E14" s="1"/>
      <c r="I14" s="2" t="s">
        <v>1099</v>
      </c>
      <c r="J14" s="3" t="s">
        <v>108</v>
      </c>
      <c r="K14" s="3" t="s">
        <v>802</v>
      </c>
      <c r="L14" s="9"/>
      <c r="M14" s="9"/>
      <c r="N14" s="3" t="s">
        <v>1006</v>
      </c>
      <c r="O14" s="3" t="s">
        <v>1009</v>
      </c>
      <c r="P14" s="3" t="s">
        <v>1007</v>
      </c>
      <c r="Q14" s="3" t="s">
        <v>1008</v>
      </c>
      <c r="T14" s="3" t="s">
        <v>865</v>
      </c>
      <c r="U14" s="3" t="s">
        <v>1009</v>
      </c>
      <c r="V14" s="3" t="s">
        <v>1007</v>
      </c>
      <c r="W14" s="3" t="s">
        <v>1008</v>
      </c>
    </row>
    <row r="15" spans="1:23" x14ac:dyDescent="0.2">
      <c r="A15" s="3" t="s">
        <v>875</v>
      </c>
      <c r="B15" s="3">
        <v>30</v>
      </c>
      <c r="C15" s="9"/>
      <c r="D15" s="9"/>
      <c r="E15" s="9"/>
      <c r="I15" s="3" t="s">
        <v>875</v>
      </c>
      <c r="J15" s="14">
        <v>0</v>
      </c>
      <c r="K15" s="14">
        <v>0</v>
      </c>
      <c r="L15" s="58"/>
      <c r="M15" s="58"/>
      <c r="N15" s="3" t="s">
        <v>875</v>
      </c>
      <c r="O15" s="3">
        <v>4</v>
      </c>
      <c r="P15" s="33">
        <f t="shared" ref="P15:P23" si="3">IF(Q15=0,0,J15/(O15*Q15))</f>
        <v>0</v>
      </c>
      <c r="Q15" s="3">
        <v>2</v>
      </c>
      <c r="T15" s="3" t="s">
        <v>875</v>
      </c>
      <c r="U15" s="3">
        <v>3</v>
      </c>
      <c r="V15" s="33">
        <f t="shared" ref="V15:V23" si="4">IF(W15=0,0,(K15/W15)/U15)</f>
        <v>0</v>
      </c>
      <c r="W15" s="3">
        <v>1</v>
      </c>
    </row>
    <row r="16" spans="1:23" x14ac:dyDescent="0.2">
      <c r="A16" s="3" t="s">
        <v>876</v>
      </c>
      <c r="B16" s="3">
        <v>45</v>
      </c>
      <c r="C16" s="9"/>
      <c r="D16" s="9"/>
      <c r="E16" s="9"/>
      <c r="I16" s="3" t="s">
        <v>876</v>
      </c>
      <c r="J16" s="14">
        <v>0.89249999999999985</v>
      </c>
      <c r="K16" s="14">
        <v>0.7649999999999999</v>
      </c>
      <c r="L16" s="58"/>
      <c r="M16" s="58"/>
      <c r="N16" s="3" t="s">
        <v>876</v>
      </c>
      <c r="O16" s="3">
        <v>4</v>
      </c>
      <c r="P16" s="33">
        <f t="shared" si="3"/>
        <v>0.22312499999999996</v>
      </c>
      <c r="Q16" s="3">
        <v>1</v>
      </c>
      <c r="T16" s="3" t="s">
        <v>876</v>
      </c>
      <c r="U16" s="3">
        <v>3</v>
      </c>
      <c r="V16" s="33">
        <f t="shared" si="4"/>
        <v>0.25499999999999995</v>
      </c>
      <c r="W16" s="3">
        <v>1</v>
      </c>
    </row>
    <row r="17" spans="1:29" x14ac:dyDescent="0.2">
      <c r="A17" s="3" t="s">
        <v>877</v>
      </c>
      <c r="B17" s="3">
        <v>120</v>
      </c>
      <c r="C17" s="9"/>
      <c r="D17" s="9"/>
      <c r="E17" s="9"/>
      <c r="I17" s="3" t="s">
        <v>877</v>
      </c>
      <c r="J17" s="14">
        <v>0.87749999999999995</v>
      </c>
      <c r="K17" s="14">
        <v>1.0529999999999999</v>
      </c>
      <c r="L17" s="58"/>
      <c r="M17" s="58"/>
      <c r="N17" s="3" t="s">
        <v>877</v>
      </c>
      <c r="O17" s="3">
        <v>4</v>
      </c>
      <c r="P17" s="33">
        <f>IF(Q17=0,0,J17/(O17*Q17))</f>
        <v>0.21937499999999999</v>
      </c>
      <c r="Q17" s="3">
        <v>1</v>
      </c>
      <c r="T17" s="3" t="s">
        <v>877</v>
      </c>
      <c r="U17" s="3">
        <v>3</v>
      </c>
      <c r="V17" s="33">
        <f t="shared" si="4"/>
        <v>0.35099999999999998</v>
      </c>
      <c r="W17" s="3">
        <v>1</v>
      </c>
    </row>
    <row r="18" spans="1:29" x14ac:dyDescent="0.2">
      <c r="A18" s="3" t="s">
        <v>878</v>
      </c>
      <c r="B18" s="3">
        <v>270</v>
      </c>
      <c r="C18" s="9"/>
      <c r="D18" s="9"/>
      <c r="E18" s="9"/>
      <c r="I18" s="3" t="s">
        <v>878</v>
      </c>
      <c r="J18" s="14">
        <v>0</v>
      </c>
      <c r="K18" s="14">
        <v>0</v>
      </c>
      <c r="L18" s="58"/>
      <c r="M18" s="58"/>
      <c r="N18" s="3" t="s">
        <v>878</v>
      </c>
      <c r="O18" s="3">
        <v>4</v>
      </c>
      <c r="P18" s="33">
        <f t="shared" si="3"/>
        <v>0</v>
      </c>
      <c r="Q18" s="3">
        <v>0</v>
      </c>
      <c r="T18" s="3" t="s">
        <v>878</v>
      </c>
      <c r="U18" s="3">
        <v>3</v>
      </c>
      <c r="V18" s="33">
        <f t="shared" si="4"/>
        <v>0</v>
      </c>
      <c r="W18" s="3">
        <v>0</v>
      </c>
    </row>
    <row r="19" spans="1:29" x14ac:dyDescent="0.2">
      <c r="A19" s="3" t="s">
        <v>879</v>
      </c>
      <c r="B19" s="3">
        <v>2160</v>
      </c>
      <c r="C19" s="9"/>
      <c r="D19" s="9"/>
      <c r="E19" s="9"/>
      <c r="I19" s="3" t="s">
        <v>879</v>
      </c>
      <c r="J19" s="14">
        <v>0</v>
      </c>
      <c r="K19" s="14">
        <v>0</v>
      </c>
      <c r="L19" s="58"/>
      <c r="M19" s="58"/>
      <c r="N19" s="3" t="s">
        <v>879</v>
      </c>
      <c r="O19" s="3">
        <v>4</v>
      </c>
      <c r="P19" s="33">
        <f t="shared" si="3"/>
        <v>0</v>
      </c>
      <c r="Q19" s="3">
        <v>0</v>
      </c>
      <c r="T19" s="3" t="s">
        <v>879</v>
      </c>
      <c r="U19" s="3">
        <v>3</v>
      </c>
      <c r="V19" s="33">
        <f t="shared" si="4"/>
        <v>0</v>
      </c>
      <c r="W19" s="3">
        <v>0</v>
      </c>
    </row>
    <row r="20" spans="1:29" x14ac:dyDescent="0.2">
      <c r="A20" s="3" t="s">
        <v>880</v>
      </c>
      <c r="B20" s="3">
        <v>10</v>
      </c>
      <c r="C20" s="9"/>
      <c r="D20" s="9"/>
      <c r="E20" s="9"/>
      <c r="I20" s="3" t="s">
        <v>880</v>
      </c>
      <c r="J20" s="14">
        <v>1.1279999999999999</v>
      </c>
      <c r="K20" s="14">
        <v>0.72</v>
      </c>
      <c r="L20" s="58"/>
      <c r="M20" s="58"/>
      <c r="N20" s="3" t="s">
        <v>880</v>
      </c>
      <c r="O20" s="3">
        <v>4</v>
      </c>
      <c r="P20" s="33">
        <f>IF(Q20=0,0,J20/(O20*Q20))</f>
        <v>0.28199999999999997</v>
      </c>
      <c r="Q20" s="3">
        <v>1</v>
      </c>
      <c r="T20" s="3" t="s">
        <v>880</v>
      </c>
      <c r="U20" s="3">
        <v>3</v>
      </c>
      <c r="V20" s="33">
        <f t="shared" si="4"/>
        <v>0.24</v>
      </c>
      <c r="W20" s="3">
        <v>1</v>
      </c>
    </row>
    <row r="21" spans="1:29" x14ac:dyDescent="0.2">
      <c r="A21" s="3" t="s">
        <v>881</v>
      </c>
      <c r="B21" s="3">
        <v>50</v>
      </c>
      <c r="C21" s="9"/>
      <c r="D21" s="9"/>
      <c r="E21" s="9"/>
      <c r="I21" s="3" t="s">
        <v>881</v>
      </c>
      <c r="J21" s="14">
        <v>0.36480000000000001</v>
      </c>
      <c r="K21" s="14">
        <v>0.23040000000000002</v>
      </c>
      <c r="L21" s="58"/>
      <c r="M21" s="58"/>
      <c r="N21" s="3" t="s">
        <v>881</v>
      </c>
      <c r="O21" s="3">
        <v>4</v>
      </c>
      <c r="P21" s="33">
        <f t="shared" si="3"/>
        <v>9.1200000000000003E-2</v>
      </c>
      <c r="Q21" s="3">
        <v>1</v>
      </c>
      <c r="T21" s="3" t="s">
        <v>881</v>
      </c>
      <c r="U21" s="3">
        <v>3</v>
      </c>
      <c r="V21" s="33">
        <f t="shared" si="4"/>
        <v>7.6800000000000007E-2</v>
      </c>
      <c r="W21" s="3">
        <v>1</v>
      </c>
    </row>
    <row r="22" spans="1:29" x14ac:dyDescent="0.2">
      <c r="A22" s="3" t="s">
        <v>882</v>
      </c>
      <c r="B22" s="3">
        <v>100</v>
      </c>
      <c r="C22" s="9"/>
      <c r="D22" s="9"/>
      <c r="E22" s="9"/>
      <c r="I22" s="3" t="s">
        <v>882</v>
      </c>
      <c r="J22" s="14">
        <v>0.19152</v>
      </c>
      <c r="K22" s="14">
        <v>0.12096</v>
      </c>
      <c r="L22" s="58"/>
      <c r="M22" s="58"/>
      <c r="N22" s="3" t="s">
        <v>882</v>
      </c>
      <c r="O22" s="3">
        <v>4</v>
      </c>
      <c r="P22" s="33">
        <f t="shared" si="3"/>
        <v>4.7879999999999999E-2</v>
      </c>
      <c r="Q22" s="3">
        <v>1</v>
      </c>
      <c r="T22" s="3" t="s">
        <v>882</v>
      </c>
      <c r="U22" s="3">
        <v>3</v>
      </c>
      <c r="V22" s="33">
        <f t="shared" si="4"/>
        <v>4.0320000000000002E-2</v>
      </c>
      <c r="W22" s="3">
        <v>1</v>
      </c>
    </row>
    <row r="23" spans="1:29" x14ac:dyDescent="0.2">
      <c r="A23" s="3" t="s">
        <v>883</v>
      </c>
      <c r="B23" s="3">
        <v>200</v>
      </c>
      <c r="C23" s="9"/>
      <c r="D23" s="9"/>
      <c r="E23" s="9"/>
      <c r="I23" s="3" t="s">
        <v>883</v>
      </c>
      <c r="J23" s="14">
        <v>0</v>
      </c>
      <c r="K23" s="14">
        <v>0</v>
      </c>
      <c r="L23" s="58"/>
      <c r="M23" s="58"/>
      <c r="N23" s="3" t="s">
        <v>883</v>
      </c>
      <c r="O23" s="3">
        <v>4</v>
      </c>
      <c r="P23" s="33">
        <f t="shared" si="3"/>
        <v>0</v>
      </c>
      <c r="Q23" s="3">
        <v>0</v>
      </c>
      <c r="T23" s="3" t="s">
        <v>883</v>
      </c>
      <c r="U23" s="3">
        <v>3</v>
      </c>
      <c r="V23" s="33">
        <f t="shared" si="4"/>
        <v>0</v>
      </c>
      <c r="W23" s="3">
        <v>0</v>
      </c>
    </row>
    <row r="24" spans="1:29" x14ac:dyDescent="0.2">
      <c r="A24" s="5" t="s">
        <v>1083</v>
      </c>
      <c r="B24" s="5">
        <v>300</v>
      </c>
      <c r="C24" s="9"/>
      <c r="D24" s="9"/>
      <c r="E24" s="9"/>
      <c r="J24">
        <f>SUMPRODUCT(J15:J23,$B$15:$B$23)</f>
        <v>194.1345</v>
      </c>
      <c r="K24">
        <f>SUMPRODUCT(K15:K23,$B$15:$B$23)</f>
        <v>191.60099999999997</v>
      </c>
      <c r="N24" s="9"/>
      <c r="O24" s="9"/>
      <c r="P24" s="40">
        <f>SUM(P15:P23)</f>
        <v>0.8635799999999999</v>
      </c>
      <c r="Q24" s="9"/>
      <c r="T24" s="9"/>
      <c r="U24" s="9"/>
      <c r="V24" s="40">
        <f>SUM(V15:V23)</f>
        <v>0.96311999999999987</v>
      </c>
      <c r="W24" s="9"/>
    </row>
    <row r="25" spans="1:29" x14ac:dyDescent="0.2">
      <c r="A25" s="5" t="s">
        <v>1084</v>
      </c>
      <c r="B25" s="5">
        <v>600</v>
      </c>
    </row>
    <row r="26" spans="1:29" x14ac:dyDescent="0.2">
      <c r="I26" s="3"/>
      <c r="J26" s="3" t="s">
        <v>884</v>
      </c>
      <c r="K26" s="3" t="s">
        <v>885</v>
      </c>
      <c r="L26" s="3" t="s">
        <v>886</v>
      </c>
      <c r="N26" s="3" t="s">
        <v>115</v>
      </c>
      <c r="O26" s="3" t="s">
        <v>1009</v>
      </c>
      <c r="P26" s="3" t="s">
        <v>1007</v>
      </c>
      <c r="Q26" s="3" t="s">
        <v>1008</v>
      </c>
      <c r="T26" s="3" t="s">
        <v>116</v>
      </c>
      <c r="U26" s="3" t="s">
        <v>1009</v>
      </c>
      <c r="V26" s="3" t="s">
        <v>1007</v>
      </c>
      <c r="W26" s="3" t="s">
        <v>1008</v>
      </c>
      <c r="Z26" s="3" t="s">
        <v>117</v>
      </c>
      <c r="AA26" s="3" t="s">
        <v>1009</v>
      </c>
      <c r="AB26" s="3" t="s">
        <v>1007</v>
      </c>
      <c r="AC26" s="3" t="s">
        <v>1008</v>
      </c>
    </row>
    <row r="27" spans="1:29" x14ac:dyDescent="0.2">
      <c r="I27" s="3" t="s">
        <v>875</v>
      </c>
      <c r="J27" s="14">
        <v>0</v>
      </c>
      <c r="K27" s="14">
        <v>0</v>
      </c>
      <c r="L27" s="14">
        <v>0</v>
      </c>
      <c r="N27" s="3" t="s">
        <v>875</v>
      </c>
      <c r="O27" s="3">
        <v>2</v>
      </c>
      <c r="P27" s="33">
        <f t="shared" ref="P27:P35" si="5">IF(Q27=0,0,(J27/Q27)/O27)</f>
        <v>0</v>
      </c>
      <c r="Q27" s="3">
        <v>0</v>
      </c>
      <c r="T27" s="3" t="s">
        <v>875</v>
      </c>
      <c r="U27" s="3">
        <v>3</v>
      </c>
      <c r="V27" s="33">
        <f t="shared" ref="V27:V35" si="6">IF(W27=0,0,(K27/W27)/U27)</f>
        <v>0</v>
      </c>
      <c r="W27" s="3">
        <v>0</v>
      </c>
      <c r="Z27" s="3" t="s">
        <v>875</v>
      </c>
      <c r="AA27" s="3">
        <v>5</v>
      </c>
      <c r="AB27" s="33">
        <f t="shared" ref="AB27:AB35" si="7">IF(AC27=0,0,(L27/AC27)/AA27)</f>
        <v>0</v>
      </c>
      <c r="AC27" s="3">
        <v>0</v>
      </c>
    </row>
    <row r="28" spans="1:29" x14ac:dyDescent="0.2">
      <c r="I28" s="3" t="s">
        <v>876</v>
      </c>
      <c r="J28" s="14">
        <v>0.4</v>
      </c>
      <c r="K28" s="14">
        <v>0.6</v>
      </c>
      <c r="L28" s="14">
        <v>0.8</v>
      </c>
      <c r="N28" s="3" t="s">
        <v>876</v>
      </c>
      <c r="O28" s="3">
        <v>2</v>
      </c>
      <c r="P28" s="33">
        <f t="shared" si="5"/>
        <v>0.2</v>
      </c>
      <c r="Q28" s="3">
        <v>1</v>
      </c>
      <c r="T28" s="3" t="s">
        <v>876</v>
      </c>
      <c r="U28" s="3">
        <v>3</v>
      </c>
      <c r="V28" s="33">
        <f t="shared" si="6"/>
        <v>0.19999999999999998</v>
      </c>
      <c r="W28" s="3">
        <v>1</v>
      </c>
      <c r="Z28" s="3" t="s">
        <v>876</v>
      </c>
      <c r="AA28" s="3">
        <v>5</v>
      </c>
      <c r="AB28" s="33">
        <f t="shared" si="7"/>
        <v>6.4000000000000001E-2</v>
      </c>
      <c r="AC28" s="3">
        <v>2.5</v>
      </c>
    </row>
    <row r="29" spans="1:29" x14ac:dyDescent="0.2">
      <c r="I29" s="3" t="s">
        <v>877</v>
      </c>
      <c r="J29" s="14">
        <v>0.7</v>
      </c>
      <c r="K29" s="14">
        <v>1.5</v>
      </c>
      <c r="L29" s="14">
        <v>6.5</v>
      </c>
      <c r="N29" s="3" t="s">
        <v>877</v>
      </c>
      <c r="O29" s="3">
        <v>2</v>
      </c>
      <c r="P29" s="33">
        <f t="shared" si="5"/>
        <v>0.35</v>
      </c>
      <c r="Q29" s="3">
        <v>1</v>
      </c>
      <c r="T29" s="3" t="s">
        <v>877</v>
      </c>
      <c r="U29" s="3">
        <v>3</v>
      </c>
      <c r="V29" s="33">
        <f t="shared" si="6"/>
        <v>0.38461538461538458</v>
      </c>
      <c r="W29" s="3">
        <v>1.3</v>
      </c>
      <c r="Z29" s="3" t="s">
        <v>877</v>
      </c>
      <c r="AA29" s="3">
        <v>5</v>
      </c>
      <c r="AB29" s="33">
        <f t="shared" si="7"/>
        <v>0.39393939393939392</v>
      </c>
      <c r="AC29" s="3">
        <v>3.3</v>
      </c>
    </row>
    <row r="30" spans="1:29" x14ac:dyDescent="0.2">
      <c r="I30" s="3" t="s">
        <v>878</v>
      </c>
      <c r="J30" s="14">
        <v>0</v>
      </c>
      <c r="K30" s="14">
        <v>0</v>
      </c>
      <c r="L30" s="14">
        <v>0</v>
      </c>
      <c r="N30" s="3" t="s">
        <v>878</v>
      </c>
      <c r="O30" s="3">
        <v>2</v>
      </c>
      <c r="P30" s="33">
        <f t="shared" si="5"/>
        <v>0</v>
      </c>
      <c r="Q30" s="3">
        <v>0</v>
      </c>
      <c r="T30" s="3" t="s">
        <v>878</v>
      </c>
      <c r="U30" s="3">
        <v>3</v>
      </c>
      <c r="V30" s="33">
        <f t="shared" si="6"/>
        <v>0</v>
      </c>
      <c r="W30" s="3">
        <v>0</v>
      </c>
      <c r="Z30" s="3" t="s">
        <v>878</v>
      </c>
      <c r="AA30" s="3">
        <v>5</v>
      </c>
      <c r="AB30" s="33">
        <f t="shared" si="7"/>
        <v>0</v>
      </c>
      <c r="AC30" s="3">
        <v>0</v>
      </c>
    </row>
    <row r="31" spans="1:29" x14ac:dyDescent="0.2">
      <c r="I31" s="3" t="s">
        <v>879</v>
      </c>
      <c r="J31" s="14">
        <v>0.01</v>
      </c>
      <c r="K31" s="14">
        <v>0.1</v>
      </c>
      <c r="L31" s="14">
        <v>0.3</v>
      </c>
      <c r="N31" s="3" t="s">
        <v>879</v>
      </c>
      <c r="O31" s="3">
        <v>2</v>
      </c>
      <c r="P31" s="33">
        <f t="shared" si="5"/>
        <v>5.0000000000000001E-3</v>
      </c>
      <c r="Q31" s="3">
        <v>1</v>
      </c>
      <c r="T31" s="3" t="s">
        <v>879</v>
      </c>
      <c r="U31" s="3">
        <v>3</v>
      </c>
      <c r="V31" s="33">
        <f t="shared" si="6"/>
        <v>3.3333333333333333E-2</v>
      </c>
      <c r="W31" s="3">
        <v>1</v>
      </c>
      <c r="Z31" s="3" t="s">
        <v>879</v>
      </c>
      <c r="AA31" s="3">
        <v>5</v>
      </c>
      <c r="AB31" s="33">
        <f t="shared" si="7"/>
        <v>0.06</v>
      </c>
      <c r="AC31" s="3">
        <v>1</v>
      </c>
    </row>
    <row r="32" spans="1:29" x14ac:dyDescent="0.2">
      <c r="I32" s="3" t="s">
        <v>880</v>
      </c>
      <c r="J32" s="14">
        <v>0.18</v>
      </c>
      <c r="K32" s="14">
        <v>0.4</v>
      </c>
      <c r="L32" s="14">
        <v>0</v>
      </c>
      <c r="N32" s="3" t="s">
        <v>880</v>
      </c>
      <c r="O32" s="3">
        <v>2</v>
      </c>
      <c r="P32" s="33">
        <f t="shared" si="5"/>
        <v>0.09</v>
      </c>
      <c r="Q32" s="3">
        <v>1</v>
      </c>
      <c r="T32" s="3" t="s">
        <v>880</v>
      </c>
      <c r="U32" s="3">
        <v>3</v>
      </c>
      <c r="V32" s="33">
        <f t="shared" si="6"/>
        <v>0.13333333333333333</v>
      </c>
      <c r="W32" s="3">
        <v>1</v>
      </c>
      <c r="Z32" s="3" t="s">
        <v>880</v>
      </c>
      <c r="AA32" s="3">
        <v>5</v>
      </c>
      <c r="AB32" s="33">
        <f t="shared" si="7"/>
        <v>0</v>
      </c>
      <c r="AC32" s="3">
        <v>1</v>
      </c>
    </row>
    <row r="33" spans="9:29" x14ac:dyDescent="0.2">
      <c r="I33" s="3" t="s">
        <v>881</v>
      </c>
      <c r="J33" s="14">
        <v>0.5</v>
      </c>
      <c r="K33" s="14">
        <v>1.2</v>
      </c>
      <c r="L33" s="14">
        <v>1.8</v>
      </c>
      <c r="N33" s="3" t="s">
        <v>881</v>
      </c>
      <c r="O33" s="3">
        <v>2</v>
      </c>
      <c r="P33" s="33">
        <f t="shared" si="5"/>
        <v>0.25</v>
      </c>
      <c r="Q33" s="3">
        <v>1</v>
      </c>
      <c r="T33" s="3" t="s">
        <v>881</v>
      </c>
      <c r="U33" s="3">
        <v>3</v>
      </c>
      <c r="V33" s="33">
        <f t="shared" si="6"/>
        <v>0.19999999999999998</v>
      </c>
      <c r="W33" s="3">
        <v>2</v>
      </c>
      <c r="Z33" s="3" t="s">
        <v>881</v>
      </c>
      <c r="AA33" s="3">
        <v>5</v>
      </c>
      <c r="AB33" s="33">
        <f t="shared" si="7"/>
        <v>0.24</v>
      </c>
      <c r="AC33" s="3">
        <v>1.5</v>
      </c>
    </row>
    <row r="34" spans="9:29" x14ac:dyDescent="0.2">
      <c r="I34" s="3" t="s">
        <v>882</v>
      </c>
      <c r="J34" s="14">
        <v>0.2</v>
      </c>
      <c r="K34" s="14">
        <v>0.3</v>
      </c>
      <c r="L34" s="14">
        <v>1.2</v>
      </c>
      <c r="N34" s="3" t="s">
        <v>882</v>
      </c>
      <c r="O34" s="3">
        <v>2</v>
      </c>
      <c r="P34" s="33">
        <f t="shared" si="5"/>
        <v>0.1</v>
      </c>
      <c r="Q34" s="3">
        <v>1</v>
      </c>
      <c r="T34" s="3" t="s">
        <v>882</v>
      </c>
      <c r="U34" s="3">
        <v>3</v>
      </c>
      <c r="V34" s="33">
        <f t="shared" si="6"/>
        <v>4.9999999999999996E-2</v>
      </c>
      <c r="W34" s="3">
        <v>2</v>
      </c>
      <c r="Z34" s="3" t="s">
        <v>882</v>
      </c>
      <c r="AA34" s="3">
        <v>5</v>
      </c>
      <c r="AB34" s="33">
        <f t="shared" si="7"/>
        <v>0.24</v>
      </c>
      <c r="AC34" s="3">
        <v>1</v>
      </c>
    </row>
    <row r="35" spans="9:29" x14ac:dyDescent="0.2">
      <c r="I35" s="3" t="s">
        <v>883</v>
      </c>
      <c r="J35" s="14">
        <v>0</v>
      </c>
      <c r="K35" s="14">
        <v>0</v>
      </c>
      <c r="L35" s="14">
        <v>0.05</v>
      </c>
      <c r="N35" s="3" t="s">
        <v>883</v>
      </c>
      <c r="O35" s="3">
        <v>2</v>
      </c>
      <c r="P35" s="33">
        <f t="shared" si="5"/>
        <v>0</v>
      </c>
      <c r="Q35" s="3">
        <v>0</v>
      </c>
      <c r="T35" s="3" t="s">
        <v>883</v>
      </c>
      <c r="U35" s="3">
        <v>3</v>
      </c>
      <c r="V35" s="33">
        <f t="shared" si="6"/>
        <v>0</v>
      </c>
      <c r="W35" s="3">
        <v>1</v>
      </c>
      <c r="Z35" s="3" t="s">
        <v>883</v>
      </c>
      <c r="AA35" s="3">
        <v>5</v>
      </c>
      <c r="AB35" s="33">
        <f t="shared" si="7"/>
        <v>0.01</v>
      </c>
      <c r="AC35" s="3">
        <v>1</v>
      </c>
    </row>
    <row r="36" spans="9:29" x14ac:dyDescent="0.2">
      <c r="J36">
        <f>SUMPRODUCT(J27:J35,$B$15:$B$23)</f>
        <v>170.39999999999998</v>
      </c>
      <c r="K36">
        <f>SUMPRODUCT(K27:K35,$B$15:$B$23)</f>
        <v>517</v>
      </c>
      <c r="L36">
        <f>SUMPRODUCT(L27:L35,$B$15:$B$23)</f>
        <v>1684</v>
      </c>
      <c r="P36" s="40">
        <f>SUM(P27:P35)</f>
        <v>0.995</v>
      </c>
      <c r="V36" s="40">
        <f>SUM(V27:V35)</f>
        <v>1.0012820512820511</v>
      </c>
      <c r="AB36" s="40">
        <f>SUM(AB27:AB35)</f>
        <v>1.0079393939393939</v>
      </c>
    </row>
  </sheetData>
  <phoneticPr fontId="1" type="noConversion"/>
  <conditionalFormatting sqref="J27:L35">
    <cfRule type="colorScale" priority="13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P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V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7:AB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19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P15:P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V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K23">
    <cfRule type="colorScale" priority="4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L15:M23">
    <cfRule type="colorScale" priority="20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sqref="A1:H14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947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2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2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931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2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2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2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930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2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2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2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2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2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2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2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924</v>
      </c>
    </row>
    <row r="20" spans="9:14" x14ac:dyDescent="0.2">
      <c r="I20" s="3"/>
      <c r="J20" s="3" t="s">
        <v>926</v>
      </c>
      <c r="K20" s="3" t="s">
        <v>906</v>
      </c>
      <c r="L20" s="3" t="s">
        <v>925</v>
      </c>
      <c r="M20" s="3" t="s">
        <v>932</v>
      </c>
    </row>
    <row r="21" spans="9:14" x14ac:dyDescent="0.2">
      <c r="I21" s="3" t="s">
        <v>922</v>
      </c>
      <c r="J21" s="3" t="s">
        <v>171</v>
      </c>
      <c r="K21" s="3" t="s">
        <v>930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923</v>
      </c>
      <c r="J22" s="3" t="s">
        <v>929</v>
      </c>
      <c r="K22" s="3" t="s">
        <v>931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927</v>
      </c>
      <c r="J24" s="14">
        <f>(((J29*M29)/(K28*L28))/N28)*60</f>
        <v>9.243260609430088</v>
      </c>
    </row>
    <row r="27" spans="9:14" x14ac:dyDescent="0.2">
      <c r="I27" s="3"/>
      <c r="J27" s="3" t="s">
        <v>933</v>
      </c>
      <c r="K27" s="3" t="s">
        <v>934</v>
      </c>
      <c r="L27" s="3" t="s">
        <v>935</v>
      </c>
      <c r="M27" s="3" t="s">
        <v>936</v>
      </c>
      <c r="N27" s="3" t="s">
        <v>937</v>
      </c>
    </row>
    <row r="28" spans="9:14" x14ac:dyDescent="0.2">
      <c r="I28" s="3" t="s">
        <v>922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923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169</v>
      </c>
      <c r="B41" t="s">
        <v>917</v>
      </c>
      <c r="C41" t="s">
        <v>918</v>
      </c>
      <c r="D41" t="s">
        <v>919</v>
      </c>
      <c r="E41" t="s">
        <v>920</v>
      </c>
      <c r="F41" t="s">
        <v>921</v>
      </c>
    </row>
    <row r="42" spans="1:6" x14ac:dyDescent="0.2">
      <c r="A42" t="s">
        <v>929</v>
      </c>
      <c r="B42" s="22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171</v>
      </c>
      <c r="B43" s="22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928</v>
      </c>
      <c r="B44" s="22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整体大纲</vt:lpstr>
      <vt:lpstr>军衔名称</vt:lpstr>
      <vt:lpstr>时间预估</vt:lpstr>
      <vt:lpstr>新Rank经验值投放</vt:lpstr>
      <vt:lpstr>坦克升星成长线规划</vt:lpstr>
      <vt:lpstr>部件升星成长规划</vt:lpstr>
      <vt:lpstr>坦克+部件投放途径划分</vt:lpstr>
      <vt:lpstr>宝箱规划</vt:lpstr>
      <vt:lpstr>坦克属性规划</vt:lpstr>
      <vt:lpstr>各种道具投放规划</vt:lpstr>
      <vt:lpstr>挂机玩法规划</vt:lpstr>
      <vt:lpstr>挂机玩法填表</vt:lpstr>
      <vt:lpstr>坦克升星消耗</vt:lpstr>
      <vt:lpstr>部件升星消耗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2020-08-31T07:27:44Z</dcterms:modified>
</cp:coreProperties>
</file>