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codeName="ThisWorkbook" defaultThemeVersion="202300"/>
  <mc:AlternateContent xmlns:mc="http://schemas.openxmlformats.org/markup-compatibility/2006">
    <mc:Choice Requires="x15">
      <x15ac:absPath xmlns:x15ac="http://schemas.microsoft.com/office/spreadsheetml/2010/11/ac" url="/Users/jakubriha/Desktop/ASML/"/>
    </mc:Choice>
  </mc:AlternateContent>
  <xr:revisionPtr revIDLastSave="0" documentId="13_ncr:1_{B3134FC8-08BC-8D40-9ED8-D792FA6263CD}" xr6:coauthVersionLast="47" xr6:coauthVersionMax="47" xr10:uidLastSave="{00000000-0000-0000-0000-000000000000}"/>
  <bookViews>
    <workbookView xWindow="0" yWindow="500" windowWidth="28800" windowHeight="16180" activeTab="1" xr2:uid="{49D41D50-4EE6-4448-973A-45A545B8D4F4}"/>
  </bookViews>
  <sheets>
    <sheet name="Cover" sheetId="2" r:id="rId1"/>
    <sheet name="Summary" sheetId="4" r:id="rId2"/>
    <sheet name="Assumptions" sheetId="3" r:id="rId3"/>
    <sheet name="Model" sheetId="1" r:id="rId4"/>
    <sheet name="Comps" sheetId="5" r:id="rId5"/>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4" l="1"/>
  <c r="S7" i="4"/>
  <c r="P11" i="4"/>
  <c r="P9" i="4"/>
  <c r="O201" i="4"/>
  <c r="N12" i="5" l="1"/>
  <c r="K12" i="5"/>
  <c r="R12" i="5" s="1"/>
  <c r="K176" i="4"/>
  <c r="G176" i="4"/>
  <c r="M16" i="5"/>
  <c r="Q16" i="5"/>
  <c r="K16" i="5"/>
  <c r="G6" i="5"/>
  <c r="L14" i="5" s="1"/>
  <c r="M64" i="1"/>
  <c r="N64" i="1"/>
  <c r="O64" i="1"/>
  <c r="P64" i="1"/>
  <c r="Q64" i="1"/>
  <c r="L64" i="1"/>
  <c r="M27" i="1"/>
  <c r="N27" i="1"/>
  <c r="O27" i="1"/>
  <c r="P27" i="1"/>
  <c r="Q27" i="1"/>
  <c r="L27" i="1"/>
  <c r="K175" i="4"/>
  <c r="G175" i="4"/>
  <c r="D171" i="4"/>
  <c r="M176" i="4" l="1"/>
  <c r="R16" i="5"/>
  <c r="M15" i="5"/>
  <c r="L13" i="5"/>
  <c r="M13" i="5"/>
  <c r="Q15" i="5"/>
  <c r="I176" i="4"/>
  <c r="L15" i="5"/>
  <c r="N15" i="5" s="1"/>
  <c r="K13" i="5"/>
  <c r="K15" i="5"/>
  <c r="Q14" i="5"/>
  <c r="L16" i="5"/>
  <c r="N16" i="5" s="1"/>
  <c r="K14" i="5"/>
  <c r="M14" i="5"/>
  <c r="N14" i="5" s="1"/>
  <c r="Q13" i="5"/>
  <c r="N13" i="5"/>
  <c r="M175" i="4"/>
  <c r="I175" i="4"/>
  <c r="R15" i="5" l="1"/>
  <c r="R13" i="5"/>
  <c r="R14" i="5"/>
  <c r="P110" i="4" l="1"/>
  <c r="N121" i="4" l="1"/>
  <c r="M121" i="4" s="1"/>
  <c r="L121" i="4" s="1"/>
  <c r="N132" i="4"/>
  <c r="F132" i="4"/>
  <c r="E627" i="1"/>
  <c r="F121" i="4"/>
  <c r="E121" i="4" s="1"/>
  <c r="D121" i="4" s="1"/>
  <c r="O121" i="4" l="1"/>
  <c r="P121" i="4" s="1"/>
  <c r="G132" i="4"/>
  <c r="H132" i="4" s="1"/>
  <c r="E132" i="4"/>
  <c r="D132" i="4" s="1"/>
  <c r="O132" i="4"/>
  <c r="P132" i="4" s="1"/>
  <c r="M132" i="4"/>
  <c r="L132" i="4" s="1"/>
  <c r="G121" i="4"/>
  <c r="H121" i="4" s="1"/>
  <c r="P113" i="4" l="1"/>
  <c r="P112" i="4"/>
  <c r="P75" i="4"/>
  <c r="P74" i="4"/>
  <c r="E112" i="4" s="1"/>
  <c r="P72" i="4"/>
  <c r="E583" i="1" s="1"/>
  <c r="E454" i="1"/>
  <c r="G447" i="1"/>
  <c r="H447" i="1"/>
  <c r="I447" i="1"/>
  <c r="J447" i="1"/>
  <c r="K447" i="1"/>
  <c r="F447" i="1"/>
  <c r="H433" i="1"/>
  <c r="H397" i="1"/>
  <c r="G34" i="2"/>
  <c r="G33" i="2"/>
  <c r="F34" i="2"/>
  <c r="F33" i="2"/>
  <c r="F32" i="2"/>
  <c r="B7" i="3"/>
  <c r="N94" i="4"/>
  <c r="M94" i="4" s="1"/>
  <c r="L94" i="4" s="1"/>
  <c r="N83" i="4"/>
  <c r="M83" i="4" s="1"/>
  <c r="L83" i="4" s="1"/>
  <c r="F94" i="4"/>
  <c r="E94" i="4" s="1"/>
  <c r="D94" i="4" s="1"/>
  <c r="E616" i="1"/>
  <c r="F83" i="4"/>
  <c r="E83" i="4" s="1"/>
  <c r="D83" i="4" s="1"/>
  <c r="B143" i="4" l="1"/>
  <c r="R24" i="5"/>
  <c r="R25" i="5"/>
  <c r="R26" i="5"/>
  <c r="R23" i="5"/>
  <c r="Q24" i="5"/>
  <c r="Q25" i="5"/>
  <c r="Q26" i="5"/>
  <c r="Q23" i="5"/>
  <c r="F112" i="4"/>
  <c r="F136" i="4"/>
  <c r="N125" i="4" s="1"/>
  <c r="H134" i="4"/>
  <c r="P123" i="4" s="1"/>
  <c r="E133" i="4"/>
  <c r="M122" i="4" s="1"/>
  <c r="H137" i="4"/>
  <c r="P126" i="4" s="1"/>
  <c r="E136" i="4"/>
  <c r="M125" i="4" s="1"/>
  <c r="G134" i="4"/>
  <c r="O123" i="4" s="1"/>
  <c r="D133" i="4"/>
  <c r="L122" i="4" s="1"/>
  <c r="G137" i="4"/>
  <c r="O126" i="4" s="1"/>
  <c r="D136" i="4"/>
  <c r="L125" i="4" s="1"/>
  <c r="F134" i="4"/>
  <c r="N123" i="4" s="1"/>
  <c r="F137" i="4"/>
  <c r="N126" i="4" s="1"/>
  <c r="H135" i="4"/>
  <c r="P124" i="4" s="1"/>
  <c r="E134" i="4"/>
  <c r="M123" i="4" s="1"/>
  <c r="E137" i="4"/>
  <c r="M126" i="4" s="1"/>
  <c r="G135" i="4"/>
  <c r="O124" i="4" s="1"/>
  <c r="D134" i="4"/>
  <c r="L123" i="4" s="1"/>
  <c r="D137" i="4"/>
  <c r="L126" i="4" s="1"/>
  <c r="F135" i="4"/>
  <c r="N124" i="4" s="1"/>
  <c r="H133" i="4"/>
  <c r="P122" i="4" s="1"/>
  <c r="H136" i="4"/>
  <c r="P125" i="4" s="1"/>
  <c r="E135" i="4"/>
  <c r="M124" i="4" s="1"/>
  <c r="G133" i="4"/>
  <c r="O122" i="4" s="1"/>
  <c r="G136" i="4"/>
  <c r="O125" i="4" s="1"/>
  <c r="D135" i="4"/>
  <c r="L124" i="4" s="1"/>
  <c r="F133" i="4"/>
  <c r="N122" i="4" s="1"/>
  <c r="E114" i="4"/>
  <c r="F114" i="4" s="1"/>
  <c r="G98" i="4"/>
  <c r="O87" i="4" s="1"/>
  <c r="E113" i="4"/>
  <c r="F113" i="4" s="1"/>
  <c r="I185" i="4" s="1"/>
  <c r="B445" i="1"/>
  <c r="B105" i="4"/>
  <c r="E74" i="4"/>
  <c r="F74" i="4" s="1"/>
  <c r="E76" i="4"/>
  <c r="F76" i="4" s="1"/>
  <c r="E75" i="4"/>
  <c r="F75" i="4" s="1"/>
  <c r="H98" i="4"/>
  <c r="P87" i="4" s="1"/>
  <c r="G95" i="4"/>
  <c r="O84" i="4" s="1"/>
  <c r="E97" i="4"/>
  <c r="M86" i="4" s="1"/>
  <c r="E96" i="4"/>
  <c r="M85" i="4" s="1"/>
  <c r="H97" i="4"/>
  <c r="P86" i="4" s="1"/>
  <c r="F99" i="4"/>
  <c r="N88" i="4" s="1"/>
  <c r="F96" i="4"/>
  <c r="N85" i="4" s="1"/>
  <c r="D98" i="4"/>
  <c r="L87" i="4" s="1"/>
  <c r="G99" i="4"/>
  <c r="O88" i="4" s="1"/>
  <c r="D95" i="4"/>
  <c r="L84" i="4" s="1"/>
  <c r="G96" i="4"/>
  <c r="O85" i="4" s="1"/>
  <c r="E98" i="4"/>
  <c r="M87" i="4" s="1"/>
  <c r="H99" i="4"/>
  <c r="P88" i="4" s="1"/>
  <c r="H95" i="4"/>
  <c r="P84" i="4" s="1"/>
  <c r="F97" i="4"/>
  <c r="N86" i="4" s="1"/>
  <c r="D99" i="4"/>
  <c r="L88" i="4" s="1"/>
  <c r="D96" i="4"/>
  <c r="L85" i="4" s="1"/>
  <c r="G97" i="4"/>
  <c r="O86" i="4" s="1"/>
  <c r="E99" i="4"/>
  <c r="M88" i="4" s="1"/>
  <c r="E95" i="4"/>
  <c r="M84" i="4" s="1"/>
  <c r="H96" i="4"/>
  <c r="P85" i="4" s="1"/>
  <c r="F98" i="4"/>
  <c r="N87" i="4" s="1"/>
  <c r="F95" i="4"/>
  <c r="N84" i="4" s="1"/>
  <c r="D97" i="4"/>
  <c r="L86" i="4" s="1"/>
  <c r="O94" i="4"/>
  <c r="P94" i="4" s="1"/>
  <c r="G94" i="4"/>
  <c r="H94" i="4" s="1"/>
  <c r="O83" i="4"/>
  <c r="P83" i="4" s="1"/>
  <c r="G83" i="4"/>
  <c r="H83" i="4" s="1"/>
  <c r="E662" i="1"/>
  <c r="B66" i="4"/>
  <c r="G174" i="4" l="1"/>
  <c r="K185" i="4"/>
  <c r="I184" i="4"/>
  <c r="K174" i="4"/>
  <c r="G185" i="4"/>
  <c r="G173" i="4"/>
  <c r="K184" i="4"/>
  <c r="K173" i="4"/>
  <c r="G184" i="4"/>
  <c r="J38" i="4"/>
  <c r="F37" i="4"/>
  <c r="G37" i="4"/>
  <c r="H37" i="4"/>
  <c r="I37" i="4"/>
  <c r="J37" i="4"/>
  <c r="F38" i="4"/>
  <c r="G38" i="4"/>
  <c r="H38" i="4"/>
  <c r="I38" i="4"/>
  <c r="F39" i="4"/>
  <c r="G39" i="4"/>
  <c r="H39" i="4"/>
  <c r="I39" i="4"/>
  <c r="J39" i="4"/>
  <c r="E39" i="4"/>
  <c r="E38" i="4"/>
  <c r="E37" i="4"/>
  <c r="F31" i="4"/>
  <c r="G31" i="4"/>
  <c r="H31" i="4"/>
  <c r="I31" i="4"/>
  <c r="J31" i="4"/>
  <c r="E31" i="4"/>
  <c r="F27" i="4"/>
  <c r="G27" i="4"/>
  <c r="H27" i="4"/>
  <c r="I27" i="4"/>
  <c r="J27" i="4"/>
  <c r="E27" i="4"/>
  <c r="F24" i="4"/>
  <c r="G24" i="4"/>
  <c r="H24" i="4"/>
  <c r="I24" i="4"/>
  <c r="J24" i="4"/>
  <c r="E24" i="4"/>
  <c r="B559" i="1"/>
  <c r="B438" i="1"/>
  <c r="B19" i="4"/>
  <c r="M185" i="4" l="1"/>
  <c r="M184" i="4"/>
  <c r="M174" i="4"/>
  <c r="M173" i="4"/>
  <c r="I174" i="4"/>
  <c r="I173" i="4"/>
  <c r="I29" i="4"/>
  <c r="G33" i="4"/>
  <c r="J25" i="4"/>
  <c r="G40" i="4"/>
  <c r="F25" i="4"/>
  <c r="J33" i="4"/>
  <c r="I40" i="4"/>
  <c r="E32" i="4"/>
  <c r="H25" i="4"/>
  <c r="G29" i="4"/>
  <c r="G32" i="4"/>
  <c r="I33" i="4"/>
  <c r="H28" i="4"/>
  <c r="E28" i="4"/>
  <c r="I32" i="4"/>
  <c r="J40" i="4"/>
  <c r="F28" i="4"/>
  <c r="E40" i="4"/>
  <c r="F32" i="4"/>
  <c r="G25" i="4"/>
  <c r="J32" i="4"/>
  <c r="I25" i="4"/>
  <c r="J29" i="4"/>
  <c r="G28" i="4"/>
  <c r="F33" i="4"/>
  <c r="F40" i="4"/>
  <c r="H33" i="4"/>
  <c r="J28" i="4"/>
  <c r="H32" i="4"/>
  <c r="F29" i="4"/>
  <c r="I28" i="4"/>
  <c r="H40" i="4"/>
  <c r="H29" i="4"/>
  <c r="P26" i="5" l="1"/>
  <c r="O26" i="5"/>
  <c r="P25" i="5"/>
  <c r="O25" i="5"/>
  <c r="P24" i="5"/>
  <c r="O24" i="5"/>
  <c r="P23" i="5"/>
  <c r="O23" i="5"/>
  <c r="N26" i="5"/>
  <c r="N25" i="5"/>
  <c r="N24" i="5"/>
  <c r="N23" i="5"/>
  <c r="P76" i="4" l="1"/>
  <c r="P114" i="4"/>
  <c r="K662" i="1"/>
  <c r="K616" i="1"/>
  <c r="L628" i="1"/>
  <c r="L627" i="1"/>
  <c r="M627" i="1" s="1"/>
  <c r="M640" i="1" s="1"/>
  <c r="L584" i="1"/>
  <c r="L583" i="1"/>
  <c r="K628" i="1"/>
  <c r="K627" i="1"/>
  <c r="K584" i="1"/>
  <c r="K583" i="1"/>
  <c r="B662" i="1"/>
  <c r="B624" i="1"/>
  <c r="L99" i="4" l="1"/>
  <c r="N95" i="4"/>
  <c r="N97" i="4"/>
  <c r="M96" i="4"/>
  <c r="P98" i="4"/>
  <c r="N99" i="4"/>
  <c r="O99" i="4"/>
  <c r="P99" i="4"/>
  <c r="M99" i="4"/>
  <c r="P97" i="4"/>
  <c r="M97" i="4"/>
  <c r="L97" i="4"/>
  <c r="O96" i="4"/>
  <c r="N98" i="4"/>
  <c r="L98" i="4"/>
  <c r="P95" i="4"/>
  <c r="O97" i="4"/>
  <c r="O98" i="4"/>
  <c r="O95" i="4"/>
  <c r="L95" i="4"/>
  <c r="M95" i="4"/>
  <c r="N96" i="4"/>
  <c r="M98" i="4"/>
  <c r="L96" i="4"/>
  <c r="P96" i="4"/>
  <c r="P133" i="4"/>
  <c r="M136" i="4"/>
  <c r="M135" i="4"/>
  <c r="L136" i="4"/>
  <c r="P134" i="4"/>
  <c r="N135" i="4"/>
  <c r="O136" i="4"/>
  <c r="P135" i="4"/>
  <c r="N136" i="4"/>
  <c r="P136" i="4"/>
  <c r="N134" i="4"/>
  <c r="O135" i="4"/>
  <c r="P137" i="4"/>
  <c r="L135" i="4"/>
  <c r="L133" i="4"/>
  <c r="M137" i="4"/>
  <c r="O133" i="4"/>
  <c r="L134" i="4"/>
  <c r="N137" i="4"/>
  <c r="O134" i="4"/>
  <c r="N133" i="4"/>
  <c r="O137" i="4"/>
  <c r="L137" i="4"/>
  <c r="M133" i="4"/>
  <c r="M134" i="4"/>
  <c r="L647" i="1"/>
  <c r="L640" i="1"/>
  <c r="M628" i="1"/>
  <c r="N628" i="1" s="1"/>
  <c r="O628" i="1" s="1"/>
  <c r="P628" i="1" s="1"/>
  <c r="Q628" i="1" s="1"/>
  <c r="N627" i="1"/>
  <c r="B616" i="1"/>
  <c r="M583" i="1"/>
  <c r="B580" i="1"/>
  <c r="L601" i="1" l="1"/>
  <c r="M647" i="1"/>
  <c r="N647" i="1" s="1"/>
  <c r="O647" i="1" s="1"/>
  <c r="P647" i="1" s="1"/>
  <c r="Q647" i="1" s="1"/>
  <c r="N640" i="1"/>
  <c r="O627" i="1"/>
  <c r="N583" i="1"/>
  <c r="M594" i="1"/>
  <c r="M597" i="1" s="1"/>
  <c r="L594" i="1"/>
  <c r="L597" i="1" s="1"/>
  <c r="M584" i="1"/>
  <c r="N584" i="1" s="1"/>
  <c r="O584" i="1" s="1"/>
  <c r="P584" i="1" s="1"/>
  <c r="Q584" i="1" s="1"/>
  <c r="O640" i="1" l="1"/>
  <c r="P627" i="1"/>
  <c r="M601" i="1"/>
  <c r="N601" i="1" s="1"/>
  <c r="O601" i="1" s="1"/>
  <c r="P601" i="1" s="1"/>
  <c r="O583" i="1"/>
  <c r="N594" i="1"/>
  <c r="N597" i="1" s="1"/>
  <c r="P640" i="1" l="1"/>
  <c r="Q627" i="1"/>
  <c r="P583" i="1"/>
  <c r="O594" i="1"/>
  <c r="O597" i="1" s="1"/>
  <c r="Q640" i="1" l="1"/>
  <c r="E629" i="1"/>
  <c r="Q583" i="1"/>
  <c r="P594" i="1"/>
  <c r="B564" i="1" l="1"/>
  <c r="M227" i="3"/>
  <c r="B572" i="1"/>
  <c r="B570" i="1"/>
  <c r="B569" i="1"/>
  <c r="B563" i="1"/>
  <c r="K24" i="1"/>
  <c r="K23" i="1" s="1"/>
  <c r="J24" i="1"/>
  <c r="J23" i="1" s="1"/>
  <c r="I24" i="1"/>
  <c r="I23" i="1" s="1"/>
  <c r="H24" i="1"/>
  <c r="H23" i="1" s="1"/>
  <c r="G24" i="1"/>
  <c r="G23" i="1" s="1"/>
  <c r="F24" i="1"/>
  <c r="F23" i="1" s="1"/>
  <c r="B561" i="1" l="1"/>
  <c r="B560" i="1"/>
  <c r="B554" i="1"/>
  <c r="L235" i="3"/>
  <c r="M228" i="3"/>
  <c r="M235" i="3" s="1"/>
  <c r="F228" i="3" l="1"/>
  <c r="F229" i="3" s="1"/>
  <c r="K209" i="3"/>
  <c r="J208" i="3"/>
  <c r="M208" i="3" s="1"/>
  <c r="D229" i="3"/>
  <c r="E227" i="3" s="1"/>
  <c r="K207" i="3"/>
  <c r="I212" i="3"/>
  <c r="L212" i="3"/>
  <c r="H213" i="3"/>
  <c r="I213" i="3"/>
  <c r="L213" i="3"/>
  <c r="G213" i="3"/>
  <c r="G212" i="3"/>
  <c r="K208" i="3"/>
  <c r="K210" i="3"/>
  <c r="J210" i="3"/>
  <c r="M210" i="3" s="1"/>
  <c r="J207" i="3"/>
  <c r="M207" i="3" s="1"/>
  <c r="E228" i="3" l="1"/>
  <c r="E231" i="3" s="1"/>
  <c r="F231" i="3"/>
  <c r="L236" i="3"/>
  <c r="K213" i="3"/>
  <c r="H212" i="3"/>
  <c r="J209" i="3"/>
  <c r="M209" i="3" s="1"/>
  <c r="M212" i="3" s="1"/>
  <c r="F219" i="3" s="1"/>
  <c r="K212" i="3"/>
  <c r="K451" i="1"/>
  <c r="J486" i="1" s="1"/>
  <c r="F380" i="1"/>
  <c r="G380" i="1"/>
  <c r="H380" i="1"/>
  <c r="I380" i="1"/>
  <c r="J380" i="1"/>
  <c r="K380" i="1"/>
  <c r="F378" i="1"/>
  <c r="G378" i="1"/>
  <c r="H378" i="1"/>
  <c r="I378" i="1"/>
  <c r="J378" i="1"/>
  <c r="K378" i="1"/>
  <c r="F379" i="1"/>
  <c r="G379" i="1"/>
  <c r="H379" i="1"/>
  <c r="I379" i="1"/>
  <c r="J379" i="1"/>
  <c r="K379" i="1"/>
  <c r="F333" i="1"/>
  <c r="F334" i="1" s="1"/>
  <c r="G333" i="1"/>
  <c r="G334" i="1" s="1"/>
  <c r="H333" i="1"/>
  <c r="H334" i="1" s="1"/>
  <c r="I333" i="1"/>
  <c r="I334" i="1" s="1"/>
  <c r="J333" i="1"/>
  <c r="J334" i="1" s="1"/>
  <c r="K333" i="1"/>
  <c r="K334" i="1" s="1"/>
  <c r="F335" i="1"/>
  <c r="G335" i="1"/>
  <c r="H335" i="1"/>
  <c r="I335" i="1"/>
  <c r="J335" i="1"/>
  <c r="K335" i="1"/>
  <c r="F284" i="1"/>
  <c r="G284" i="1"/>
  <c r="H284" i="1"/>
  <c r="I284" i="1"/>
  <c r="J284" i="1"/>
  <c r="K284" i="1"/>
  <c r="F285" i="1"/>
  <c r="G285" i="1"/>
  <c r="H285" i="1"/>
  <c r="I285" i="1"/>
  <c r="J285" i="1"/>
  <c r="K285" i="1"/>
  <c r="F286" i="1"/>
  <c r="G286" i="1"/>
  <c r="H286" i="1"/>
  <c r="I286" i="1"/>
  <c r="J286" i="1"/>
  <c r="K286" i="1"/>
  <c r="M48" i="1"/>
  <c r="N48" i="1"/>
  <c r="O48" i="1"/>
  <c r="P48" i="1"/>
  <c r="Q48" i="1"/>
  <c r="L48" i="1"/>
  <c r="K214" i="1"/>
  <c r="J214" i="1"/>
  <c r="I214" i="1"/>
  <c r="H214" i="1"/>
  <c r="G214" i="1"/>
  <c r="F214" i="1"/>
  <c r="L108" i="1"/>
  <c r="M108" i="1" s="1"/>
  <c r="N108" i="1" s="1"/>
  <c r="O108" i="1" s="1"/>
  <c r="P108" i="1" s="1"/>
  <c r="Q108" i="1" s="1"/>
  <c r="L103" i="1"/>
  <c r="M103" i="1" s="1"/>
  <c r="N103" i="1" s="1"/>
  <c r="O103" i="1" s="1"/>
  <c r="P103" i="1" s="1"/>
  <c r="Q103" i="1" s="1"/>
  <c r="L94" i="1"/>
  <c r="M94" i="1" s="1"/>
  <c r="N94" i="1" s="1"/>
  <c r="O94" i="1" s="1"/>
  <c r="P94" i="1" s="1"/>
  <c r="Q94" i="1" s="1"/>
  <c r="L85" i="1"/>
  <c r="M85" i="1" s="1"/>
  <c r="N85" i="1" s="1"/>
  <c r="O85" i="1" s="1"/>
  <c r="P85" i="1" s="1"/>
  <c r="Q85" i="1" s="1"/>
  <c r="E229" i="3" l="1"/>
  <c r="F220" i="3"/>
  <c r="F221" i="3" s="1"/>
  <c r="M219" i="3" s="1"/>
  <c r="M221" i="3" s="1"/>
  <c r="M236" i="3" s="1"/>
  <c r="M238" i="3" s="1"/>
  <c r="J212" i="3"/>
  <c r="J213" i="3"/>
  <c r="M213" i="3"/>
  <c r="J481" i="1"/>
  <c r="J482" i="1"/>
  <c r="J483" i="1"/>
  <c r="J484" i="1"/>
  <c r="J485" i="1"/>
  <c r="I470" i="1"/>
  <c r="M469" i="1"/>
  <c r="N469" i="1"/>
  <c r="O469" i="1"/>
  <c r="P469" i="1"/>
  <c r="Q469" i="1"/>
  <c r="L469" i="1"/>
  <c r="M464" i="1"/>
  <c r="N464" i="1"/>
  <c r="O464" i="1"/>
  <c r="P464" i="1"/>
  <c r="Q464" i="1"/>
  <c r="L464" i="1"/>
  <c r="I465" i="1"/>
  <c r="L477" i="1"/>
  <c r="L481" i="1" s="1"/>
  <c r="M482" i="1" s="1"/>
  <c r="N483" i="1" s="1"/>
  <c r="O484" i="1" s="1"/>
  <c r="P485" i="1" s="1"/>
  <c r="Q486" i="1" s="1"/>
  <c r="M500" i="1"/>
  <c r="N500" i="1"/>
  <c r="O500" i="1"/>
  <c r="P500" i="1"/>
  <c r="Q500" i="1"/>
  <c r="L500" i="1"/>
  <c r="M490" i="1"/>
  <c r="N490" i="1"/>
  <c r="O490" i="1"/>
  <c r="P490" i="1"/>
  <c r="Q490" i="1"/>
  <c r="L490" i="1"/>
  <c r="I501" i="1" a="1"/>
  <c r="I501" i="1" s="1"/>
  <c r="E453" i="1"/>
  <c r="K521" i="1" s="1"/>
  <c r="L519" i="1" s="1"/>
  <c r="E452" i="1"/>
  <c r="K513" i="1" s="1"/>
  <c r="L511" i="1" s="1"/>
  <c r="I491" i="1" a="1"/>
  <c r="I491" i="1" s="1"/>
  <c r="L486" i="1"/>
  <c r="L485" i="1"/>
  <c r="M486" i="1" s="1"/>
  <c r="L484" i="1"/>
  <c r="M485" i="1" s="1"/>
  <c r="N486" i="1" s="1"/>
  <c r="L483" i="1"/>
  <c r="M484" i="1" s="1"/>
  <c r="N485" i="1" s="1"/>
  <c r="O486" i="1" s="1"/>
  <c r="L482" i="1"/>
  <c r="M483" i="1" s="1"/>
  <c r="N484" i="1" s="1"/>
  <c r="O485" i="1" s="1"/>
  <c r="P486" i="1" s="1"/>
  <c r="M480" i="1"/>
  <c r="N480" i="1"/>
  <c r="O480" i="1"/>
  <c r="P480" i="1"/>
  <c r="Q480" i="1"/>
  <c r="L480" i="1"/>
  <c r="I481" i="1" a="1"/>
  <c r="I481" i="1" s="1"/>
  <c r="E451" i="1"/>
  <c r="L460" i="1" s="1"/>
  <c r="K402" i="1"/>
  <c r="L400" i="1" s="1"/>
  <c r="E237" i="1"/>
  <c r="M379" i="1"/>
  <c r="M422" i="1" s="1"/>
  <c r="N379" i="1"/>
  <c r="N422" i="1" s="1"/>
  <c r="O379" i="1"/>
  <c r="O422" i="1" s="1"/>
  <c r="P379" i="1"/>
  <c r="P422" i="1" s="1"/>
  <c r="Q379" i="1"/>
  <c r="Q422" i="1" s="1"/>
  <c r="L379" i="1"/>
  <c r="L422" i="1" s="1"/>
  <c r="M380" i="1"/>
  <c r="M401" i="1" s="1"/>
  <c r="M54" i="1" s="1"/>
  <c r="N380" i="1"/>
  <c r="N401" i="1" s="1"/>
  <c r="N54" i="1" s="1"/>
  <c r="O380" i="1"/>
  <c r="O401" i="1" s="1"/>
  <c r="O54" i="1" s="1"/>
  <c r="P380" i="1"/>
  <c r="P401" i="1" s="1"/>
  <c r="P54" i="1" s="1"/>
  <c r="Q380" i="1"/>
  <c r="Q401" i="1" s="1"/>
  <c r="Q54" i="1" s="1"/>
  <c r="L380" i="1"/>
  <c r="L401" i="1" s="1"/>
  <c r="L54" i="1" s="1"/>
  <c r="L93" i="1" s="1"/>
  <c r="K452" i="1"/>
  <c r="M515" i="1" s="1"/>
  <c r="K97" i="4" l="1"/>
  <c r="C86" i="4"/>
  <c r="C135" i="4"/>
  <c r="K86" i="4"/>
  <c r="K124" i="4"/>
  <c r="P73" i="4"/>
  <c r="E584" i="1" s="1"/>
  <c r="O604" i="1" s="1"/>
  <c r="C124" i="4"/>
  <c r="K135" i="4"/>
  <c r="P111" i="4"/>
  <c r="E628" i="1" s="1"/>
  <c r="C97" i="4"/>
  <c r="L515" i="1"/>
  <c r="Q515" i="1"/>
  <c r="L523" i="1"/>
  <c r="Q523" i="1"/>
  <c r="P523" i="1"/>
  <c r="O523" i="1"/>
  <c r="N523" i="1"/>
  <c r="O515" i="1"/>
  <c r="M523" i="1"/>
  <c r="N515" i="1"/>
  <c r="P515" i="1"/>
  <c r="J470" i="1"/>
  <c r="K470" i="1" s="1"/>
  <c r="J465" i="1"/>
  <c r="M477" i="1"/>
  <c r="N477" i="1" s="1"/>
  <c r="O477" i="1" s="1"/>
  <c r="P477" i="1" s="1"/>
  <c r="Q477" i="1" s="1"/>
  <c r="M460" i="1"/>
  <c r="N460" i="1" s="1"/>
  <c r="M93" i="1"/>
  <c r="N93" i="1" s="1"/>
  <c r="O93" i="1" s="1"/>
  <c r="P93" i="1" s="1"/>
  <c r="Q93" i="1" s="1"/>
  <c r="E387" i="1"/>
  <c r="K385" i="1"/>
  <c r="M414" i="1" s="1"/>
  <c r="K386" i="1"/>
  <c r="O432" i="1" s="1"/>
  <c r="L90" i="1"/>
  <c r="M90" i="1" s="1"/>
  <c r="N90" i="1" s="1"/>
  <c r="O90" i="1" s="1"/>
  <c r="P90" i="1" s="1"/>
  <c r="Q90" i="1" s="1"/>
  <c r="F104" i="1"/>
  <c r="G104" i="1"/>
  <c r="H104" i="1"/>
  <c r="I104" i="1"/>
  <c r="J104" i="1"/>
  <c r="K104" i="1"/>
  <c r="F109" i="1"/>
  <c r="G109" i="1"/>
  <c r="H109" i="1"/>
  <c r="I109" i="1"/>
  <c r="J109" i="1"/>
  <c r="K109" i="1"/>
  <c r="F95" i="1"/>
  <c r="G95" i="1"/>
  <c r="H95" i="1"/>
  <c r="I95" i="1"/>
  <c r="J95" i="1"/>
  <c r="K95" i="1"/>
  <c r="F86" i="1"/>
  <c r="G86" i="1"/>
  <c r="H86" i="1"/>
  <c r="I86" i="1"/>
  <c r="J86" i="1"/>
  <c r="K86" i="1"/>
  <c r="K548" i="1"/>
  <c r="L545" i="1" s="1"/>
  <c r="M539" i="1"/>
  <c r="N539" i="1"/>
  <c r="O539" i="1"/>
  <c r="P539" i="1"/>
  <c r="Q539" i="1"/>
  <c r="L539" i="1"/>
  <c r="M535" i="1"/>
  <c r="N535" i="1"/>
  <c r="O535" i="1"/>
  <c r="P535" i="1"/>
  <c r="Q535" i="1"/>
  <c r="L535" i="1"/>
  <c r="K536" i="1"/>
  <c r="L534" i="1" s="1"/>
  <c r="B530" i="1"/>
  <c r="K430" i="1"/>
  <c r="L428" i="1" s="1"/>
  <c r="M423" i="1"/>
  <c r="M60" i="1" s="1"/>
  <c r="N423" i="1"/>
  <c r="N60" i="1" s="1"/>
  <c r="O423" i="1"/>
  <c r="O60" i="1" s="1"/>
  <c r="P423" i="1"/>
  <c r="P60" i="1" s="1"/>
  <c r="Q423" i="1"/>
  <c r="Q60" i="1" s="1"/>
  <c r="L423" i="1"/>
  <c r="L60" i="1" s="1"/>
  <c r="M411" i="1"/>
  <c r="N411" i="1"/>
  <c r="O411" i="1"/>
  <c r="P411" i="1"/>
  <c r="Q411" i="1"/>
  <c r="L411" i="1"/>
  <c r="K412" i="1"/>
  <c r="L410" i="1" s="1"/>
  <c r="E385" i="1"/>
  <c r="O396" i="1" s="1"/>
  <c r="B375" i="1"/>
  <c r="L67" i="1"/>
  <c r="L392" i="1" s="1"/>
  <c r="K360" i="1"/>
  <c r="L357" i="1" s="1"/>
  <c r="B359" i="1"/>
  <c r="B358" i="1"/>
  <c r="B353" i="1"/>
  <c r="B348" i="1"/>
  <c r="B347" i="1"/>
  <c r="E340" i="1"/>
  <c r="K323" i="1"/>
  <c r="L320" i="1" s="1"/>
  <c r="K317" i="1"/>
  <c r="L314" i="1" s="1"/>
  <c r="B330" i="1"/>
  <c r="J317" i="1"/>
  <c r="I317" i="1"/>
  <c r="H317" i="1"/>
  <c r="G317" i="1"/>
  <c r="F317" i="1"/>
  <c r="E291" i="1"/>
  <c r="E295" i="1"/>
  <c r="E294" i="1"/>
  <c r="E290" i="1"/>
  <c r="K136" i="4" l="1"/>
  <c r="K137" i="4" s="1"/>
  <c r="K134" i="4"/>
  <c r="K133" i="4" s="1"/>
  <c r="K123" i="4"/>
  <c r="K122" i="4" s="1"/>
  <c r="K125" i="4"/>
  <c r="K126" i="4" s="1"/>
  <c r="C136" i="4"/>
  <c r="C137" i="4" s="1"/>
  <c r="C134" i="4"/>
  <c r="C133" i="4" s="1"/>
  <c r="K87" i="4"/>
  <c r="K88" i="4" s="1"/>
  <c r="K85" i="4"/>
  <c r="K84" i="4" s="1"/>
  <c r="C96" i="4"/>
  <c r="C95" i="4" s="1"/>
  <c r="C98" i="4"/>
  <c r="C99" i="4" s="1"/>
  <c r="C85" i="4"/>
  <c r="C84" i="4" s="1"/>
  <c r="C87" i="4"/>
  <c r="C88" i="4" s="1"/>
  <c r="C125" i="4"/>
  <c r="C126" i="4" s="1"/>
  <c r="C123" i="4"/>
  <c r="C122" i="4" s="1"/>
  <c r="K96" i="4"/>
  <c r="K95" i="4" s="1"/>
  <c r="K98" i="4"/>
  <c r="K99" i="4" s="1"/>
  <c r="N604" i="1"/>
  <c r="L650" i="1"/>
  <c r="M650" i="1"/>
  <c r="O650" i="1"/>
  <c r="P650" i="1"/>
  <c r="L604" i="1"/>
  <c r="N650" i="1"/>
  <c r="M604" i="1"/>
  <c r="L419" i="1"/>
  <c r="K394" i="1"/>
  <c r="K465" i="1"/>
  <c r="L465" i="1" s="1"/>
  <c r="L470" i="1" s="1"/>
  <c r="M481" i="1"/>
  <c r="N482" i="1" s="1"/>
  <c r="O483" i="1" s="1"/>
  <c r="P484" i="1" s="1"/>
  <c r="Q485" i="1" s="1"/>
  <c r="N481" i="1"/>
  <c r="O482" i="1" s="1"/>
  <c r="P483" i="1" s="1"/>
  <c r="Q484" i="1" s="1"/>
  <c r="O460" i="1"/>
  <c r="M404" i="1"/>
  <c r="L404" i="1"/>
  <c r="Q404" i="1"/>
  <c r="O404" i="1"/>
  <c r="N404" i="1"/>
  <c r="P404" i="1"/>
  <c r="F111" i="1"/>
  <c r="F118" i="1" s="1"/>
  <c r="K97" i="1"/>
  <c r="H97" i="1"/>
  <c r="K111" i="1"/>
  <c r="K118" i="1" s="1"/>
  <c r="J97" i="1"/>
  <c r="I97" i="1"/>
  <c r="G97" i="1"/>
  <c r="F97" i="1"/>
  <c r="J111" i="1"/>
  <c r="J118" i="1" s="1"/>
  <c r="I111" i="1"/>
  <c r="I118" i="1" s="1"/>
  <c r="H111" i="1"/>
  <c r="H118" i="1" s="1"/>
  <c r="G111" i="1"/>
  <c r="G118" i="1" s="1"/>
  <c r="M432" i="1"/>
  <c r="O414" i="1"/>
  <c r="N414" i="1"/>
  <c r="L432" i="1"/>
  <c r="Q414" i="1"/>
  <c r="L412" i="1"/>
  <c r="P414" i="1"/>
  <c r="L536" i="1"/>
  <c r="L414" i="1"/>
  <c r="N432" i="1"/>
  <c r="Q432" i="1"/>
  <c r="P432" i="1"/>
  <c r="N396" i="1"/>
  <c r="M396" i="1"/>
  <c r="L396" i="1"/>
  <c r="Q396" i="1"/>
  <c r="P396" i="1"/>
  <c r="J309" i="1"/>
  <c r="I309" i="1"/>
  <c r="H309" i="1"/>
  <c r="G309" i="1"/>
  <c r="F309" i="1"/>
  <c r="J303" i="1"/>
  <c r="I303" i="1"/>
  <c r="H303" i="1"/>
  <c r="G303" i="1"/>
  <c r="F303" i="1"/>
  <c r="K309" i="1"/>
  <c r="L306" i="1" s="1"/>
  <c r="L106" i="1" l="1"/>
  <c r="L415" i="1"/>
  <c r="G120" i="1"/>
  <c r="G323" i="1" s="1"/>
  <c r="H120" i="1"/>
  <c r="H323" i="1" s="1"/>
  <c r="K120" i="1"/>
  <c r="I120" i="1"/>
  <c r="I323" i="1" s="1"/>
  <c r="F120" i="1"/>
  <c r="F323" i="1" s="1"/>
  <c r="J120" i="1"/>
  <c r="J323" i="1" s="1"/>
  <c r="M465" i="1"/>
  <c r="M470" i="1" s="1"/>
  <c r="P460" i="1"/>
  <c r="Q460" i="1" s="1"/>
  <c r="O481" i="1"/>
  <c r="P482" i="1" s="1"/>
  <c r="Q483" i="1" s="1"/>
  <c r="M534" i="1"/>
  <c r="M536" i="1" s="1"/>
  <c r="L114" i="1"/>
  <c r="M410" i="1"/>
  <c r="M412" i="1" s="1"/>
  <c r="B281" i="1"/>
  <c r="M106" i="1" l="1"/>
  <c r="M415" i="1"/>
  <c r="N465" i="1"/>
  <c r="N470" i="1" s="1"/>
  <c r="P481" i="1"/>
  <c r="Q482" i="1" s="1"/>
  <c r="N410" i="1"/>
  <c r="N412" i="1" s="1"/>
  <c r="N534" i="1"/>
  <c r="N536" i="1" s="1"/>
  <c r="M114" i="1"/>
  <c r="N106" i="1" l="1"/>
  <c r="N415" i="1"/>
  <c r="O465" i="1"/>
  <c r="O410" i="1"/>
  <c r="O412" i="1" s="1"/>
  <c r="O534" i="1"/>
  <c r="O536" i="1" s="1"/>
  <c r="N114" i="1"/>
  <c r="O106" i="1" l="1"/>
  <c r="O415" i="1"/>
  <c r="P465" i="1"/>
  <c r="O470" i="1"/>
  <c r="Q481" i="1"/>
  <c r="P410" i="1"/>
  <c r="P412" i="1" s="1"/>
  <c r="P534" i="1"/>
  <c r="P536" i="1" s="1"/>
  <c r="O114" i="1"/>
  <c r="L300" i="1"/>
  <c r="P106" i="1" l="1"/>
  <c r="P415" i="1"/>
  <c r="Q465" i="1"/>
  <c r="Q470" i="1" s="1"/>
  <c r="P470" i="1"/>
  <c r="Q410" i="1"/>
  <c r="Q412" i="1" s="1"/>
  <c r="Q415" i="1" s="1"/>
  <c r="Q534" i="1"/>
  <c r="Q536" i="1" s="1"/>
  <c r="Q114" i="1" s="1"/>
  <c r="P114" i="1"/>
  <c r="J244" i="1"/>
  <c r="E232" i="1"/>
  <c r="L233" i="1" s="1"/>
  <c r="M270" i="1"/>
  <c r="N270" i="1"/>
  <c r="O270" i="1"/>
  <c r="P270" i="1"/>
  <c r="Q270" i="1"/>
  <c r="L270" i="1"/>
  <c r="H99" i="3"/>
  <c r="I99" i="3"/>
  <c r="J99" i="3"/>
  <c r="K99" i="3"/>
  <c r="L99" i="3"/>
  <c r="M99" i="3"/>
  <c r="L248" i="1"/>
  <c r="L247" i="1"/>
  <c r="M248" i="1" s="1"/>
  <c r="L246" i="1"/>
  <c r="M247" i="1" s="1"/>
  <c r="N248" i="1" s="1"/>
  <c r="L245" i="1"/>
  <c r="M246" i="1" s="1"/>
  <c r="N247" i="1" s="1"/>
  <c r="O248" i="1" s="1"/>
  <c r="L244" i="1"/>
  <c r="M245" i="1" s="1"/>
  <c r="N246" i="1" s="1"/>
  <c r="O247" i="1" s="1"/>
  <c r="P248" i="1" s="1"/>
  <c r="I253" i="1" a="1"/>
  <c r="I253" i="1" s="1"/>
  <c r="M252" i="1"/>
  <c r="N252" i="1"/>
  <c r="O252" i="1"/>
  <c r="P252" i="1"/>
  <c r="Q252" i="1"/>
  <c r="L252" i="1"/>
  <c r="I243" i="1" a="1"/>
  <c r="I243" i="1" s="1"/>
  <c r="M242" i="1"/>
  <c r="N242" i="1"/>
  <c r="O242" i="1"/>
  <c r="P242" i="1"/>
  <c r="Q242" i="1"/>
  <c r="L242" i="1"/>
  <c r="E238" i="1"/>
  <c r="L238" i="1" s="1"/>
  <c r="L243" i="1" s="1"/>
  <c r="M244" i="1" s="1"/>
  <c r="N245" i="1" s="1"/>
  <c r="O246" i="1" s="1"/>
  <c r="P247" i="1" s="1"/>
  <c r="Q248" i="1" s="1"/>
  <c r="E233" i="1"/>
  <c r="F225" i="1"/>
  <c r="G225" i="1"/>
  <c r="H225" i="1"/>
  <c r="I225" i="1"/>
  <c r="J225" i="1"/>
  <c r="K225" i="1"/>
  <c r="M83" i="3"/>
  <c r="L83" i="3"/>
  <c r="K83" i="3"/>
  <c r="J83" i="3"/>
  <c r="I83" i="3"/>
  <c r="H83" i="3"/>
  <c r="L77" i="3"/>
  <c r="K77" i="3"/>
  <c r="J77" i="3"/>
  <c r="I77" i="3"/>
  <c r="H77" i="3"/>
  <c r="L93" i="3"/>
  <c r="K93" i="3"/>
  <c r="J93" i="3"/>
  <c r="I93" i="3"/>
  <c r="H93" i="3"/>
  <c r="F182" i="1"/>
  <c r="G182" i="1"/>
  <c r="H182" i="1"/>
  <c r="I182" i="1"/>
  <c r="J182" i="1"/>
  <c r="K182" i="1"/>
  <c r="O308" i="1" l="1"/>
  <c r="N308" i="1"/>
  <c r="P308" i="1"/>
  <c r="L308" i="1"/>
  <c r="M308" i="1"/>
  <c r="Q308" i="1"/>
  <c r="Q106" i="1"/>
  <c r="J246" i="1"/>
  <c r="L266" i="1"/>
  <c r="M238" i="1"/>
  <c r="N238" i="1" s="1"/>
  <c r="O238" i="1" s="1"/>
  <c r="P238" i="1" s="1"/>
  <c r="Q238" i="1" s="1"/>
  <c r="Q243" i="1" s="1"/>
  <c r="J245" i="1"/>
  <c r="J243" i="1"/>
  <c r="J248" i="1"/>
  <c r="J247" i="1"/>
  <c r="N243" i="1" l="1"/>
  <c r="O244" i="1" s="1"/>
  <c r="M243" i="1"/>
  <c r="N244" i="1" s="1"/>
  <c r="O243" i="1"/>
  <c r="P244" i="1" s="1"/>
  <c r="P243" i="1"/>
  <c r="Q244" i="1" s="1"/>
  <c r="Q245" i="1" l="1"/>
  <c r="O245" i="1"/>
  <c r="P245" i="1"/>
  <c r="P246" i="1" l="1"/>
  <c r="Q246" i="1"/>
  <c r="Q247" i="1" l="1"/>
  <c r="B221" i="1" l="1"/>
  <c r="L193" i="1" l="1"/>
  <c r="M193" i="1"/>
  <c r="N193" i="1"/>
  <c r="O193" i="1"/>
  <c r="P193" i="1"/>
  <c r="Q193" i="1"/>
  <c r="L194" i="1"/>
  <c r="M194" i="1"/>
  <c r="N194" i="1"/>
  <c r="O194" i="1"/>
  <c r="P194" i="1"/>
  <c r="Q194" i="1"/>
  <c r="M192" i="1"/>
  <c r="N192" i="1"/>
  <c r="O192" i="1"/>
  <c r="P192" i="1"/>
  <c r="Q192" i="1"/>
  <c r="L192" i="1"/>
  <c r="L188" i="1"/>
  <c r="M188" i="1"/>
  <c r="N188" i="1"/>
  <c r="O188" i="1"/>
  <c r="P188" i="1"/>
  <c r="Q188" i="1"/>
  <c r="L189" i="1"/>
  <c r="M189" i="1"/>
  <c r="N189" i="1"/>
  <c r="O189" i="1"/>
  <c r="P189" i="1"/>
  <c r="Q189" i="1"/>
  <c r="M187" i="1"/>
  <c r="N187" i="1"/>
  <c r="O187" i="1"/>
  <c r="P187" i="1"/>
  <c r="Q187" i="1"/>
  <c r="L187" i="1"/>
  <c r="F215" i="1"/>
  <c r="G215" i="1"/>
  <c r="H215" i="1"/>
  <c r="I215" i="1"/>
  <c r="J215" i="1"/>
  <c r="K215" i="1"/>
  <c r="K207" i="1"/>
  <c r="J207" i="1"/>
  <c r="I207" i="1"/>
  <c r="H207" i="1"/>
  <c r="G207" i="1"/>
  <c r="F207" i="1"/>
  <c r="F202" i="1"/>
  <c r="G202" i="1"/>
  <c r="H202" i="1"/>
  <c r="I202" i="1"/>
  <c r="J202" i="1"/>
  <c r="K202" i="1"/>
  <c r="F180" i="1"/>
  <c r="G180" i="1"/>
  <c r="H180" i="1"/>
  <c r="I180" i="1"/>
  <c r="J180" i="1"/>
  <c r="K180" i="1"/>
  <c r="L180" i="1"/>
  <c r="M180" i="1"/>
  <c r="N180" i="1"/>
  <c r="O180" i="1"/>
  <c r="P180" i="1"/>
  <c r="Q180" i="1"/>
  <c r="B177" i="1"/>
  <c r="B159" i="1"/>
  <c r="B130" i="1"/>
  <c r="B77" i="1"/>
  <c r="B39" i="1"/>
  <c r="B5" i="1"/>
  <c r="M71" i="3"/>
  <c r="L71" i="3"/>
  <c r="K71" i="3"/>
  <c r="J71" i="3"/>
  <c r="I71" i="3"/>
  <c r="H71" i="3"/>
  <c r="M65" i="3"/>
  <c r="L65" i="3"/>
  <c r="K65" i="3"/>
  <c r="J65" i="3"/>
  <c r="I65" i="3"/>
  <c r="H65" i="3"/>
  <c r="F171" i="1"/>
  <c r="G171" i="1"/>
  <c r="H171" i="1"/>
  <c r="I171" i="1"/>
  <c r="J171" i="1"/>
  <c r="K171" i="1"/>
  <c r="H55" i="3" l="1"/>
  <c r="M55" i="3"/>
  <c r="L55" i="3"/>
  <c r="K55" i="3"/>
  <c r="J55" i="3"/>
  <c r="I55" i="3"/>
  <c r="M45" i="3"/>
  <c r="L45" i="3"/>
  <c r="K45" i="3"/>
  <c r="J45" i="3"/>
  <c r="I45" i="3"/>
  <c r="H45" i="3"/>
  <c r="M39" i="3"/>
  <c r="L39" i="3"/>
  <c r="K39" i="3"/>
  <c r="J39" i="3"/>
  <c r="I39" i="3"/>
  <c r="H39" i="3"/>
  <c r="M23" i="3"/>
  <c r="L23" i="3"/>
  <c r="K23" i="3"/>
  <c r="J23" i="3"/>
  <c r="I23" i="3"/>
  <c r="H23" i="3"/>
  <c r="L135" i="1" s="1"/>
  <c r="M17" i="3"/>
  <c r="L17" i="3"/>
  <c r="K17" i="3"/>
  <c r="J17" i="3"/>
  <c r="I17" i="3"/>
  <c r="H17" i="3"/>
  <c r="L134" i="1" s="1"/>
  <c r="J141" i="1"/>
  <c r="I141" i="1"/>
  <c r="H141" i="1"/>
  <c r="G141" i="1"/>
  <c r="F141" i="1"/>
  <c r="J140" i="1"/>
  <c r="I140" i="1"/>
  <c r="H140" i="1"/>
  <c r="G140" i="1"/>
  <c r="F140" i="1"/>
  <c r="J139" i="1"/>
  <c r="I139" i="1"/>
  <c r="H139" i="1"/>
  <c r="G139" i="1"/>
  <c r="F139" i="1"/>
  <c r="J150" i="1"/>
  <c r="J162" i="1" s="1"/>
  <c r="I150" i="1"/>
  <c r="I162" i="1" s="1"/>
  <c r="H150" i="1"/>
  <c r="H162" i="1" s="1"/>
  <c r="G150" i="1"/>
  <c r="G162" i="1" s="1"/>
  <c r="F150" i="1"/>
  <c r="F162" i="1" s="1"/>
  <c r="K149" i="1"/>
  <c r="K141" i="1" s="1"/>
  <c r="K148" i="1"/>
  <c r="K147" i="1"/>
  <c r="K139" i="1" s="1"/>
  <c r="F136" i="1"/>
  <c r="G136" i="1"/>
  <c r="H136" i="1"/>
  <c r="I136" i="1"/>
  <c r="J136" i="1"/>
  <c r="K136" i="1"/>
  <c r="M134" i="1" l="1"/>
  <c r="N134" i="1" s="1"/>
  <c r="O134" i="1" s="1"/>
  <c r="P134" i="1" s="1"/>
  <c r="Q134" i="1" s="1"/>
  <c r="M135" i="1"/>
  <c r="N135" i="1" s="1"/>
  <c r="O135" i="1" s="1"/>
  <c r="P135" i="1" s="1"/>
  <c r="Q135" i="1" s="1"/>
  <c r="J152" i="1"/>
  <c r="J163" i="1" s="1"/>
  <c r="J164" i="1" s="1"/>
  <c r="L141" i="1"/>
  <c r="M141" i="1" s="1"/>
  <c r="N141" i="1" s="1"/>
  <c r="O141" i="1" s="1"/>
  <c r="P141" i="1" s="1"/>
  <c r="Q141" i="1" s="1"/>
  <c r="I152" i="1"/>
  <c r="H152" i="1"/>
  <c r="G152" i="1"/>
  <c r="F152" i="1"/>
  <c r="F142" i="1"/>
  <c r="I142" i="1"/>
  <c r="K150" i="1"/>
  <c r="J142" i="1"/>
  <c r="K140" i="1"/>
  <c r="K142" i="1" s="1"/>
  <c r="H142" i="1"/>
  <c r="G142" i="1"/>
  <c r="J153" i="1" l="1"/>
  <c r="L149" i="1"/>
  <c r="L140" i="1"/>
  <c r="L148" i="1" s="1"/>
  <c r="M149" i="1"/>
  <c r="F163" i="1"/>
  <c r="F164" i="1" s="1"/>
  <c r="F153" i="1"/>
  <c r="G163" i="1"/>
  <c r="G164" i="1" s="1"/>
  <c r="G153" i="1"/>
  <c r="H163" i="1"/>
  <c r="H164" i="1" s="1"/>
  <c r="H153" i="1"/>
  <c r="K162" i="1"/>
  <c r="K152" i="1"/>
  <c r="I163" i="1"/>
  <c r="I164" i="1" s="1"/>
  <c r="I153" i="1"/>
  <c r="M33" i="3"/>
  <c r="L33" i="3"/>
  <c r="K33" i="3"/>
  <c r="J33" i="3"/>
  <c r="I33" i="3"/>
  <c r="H33" i="3"/>
  <c r="L139" i="1" s="1"/>
  <c r="M11" i="3"/>
  <c r="L11" i="3"/>
  <c r="K11" i="3"/>
  <c r="J11" i="3"/>
  <c r="I11" i="3"/>
  <c r="H11" i="3"/>
  <c r="L133" i="1" s="1"/>
  <c r="F33" i="1"/>
  <c r="G33" i="1"/>
  <c r="H33" i="1"/>
  <c r="I33" i="1"/>
  <c r="J33" i="1"/>
  <c r="K33" i="1"/>
  <c r="F32" i="1"/>
  <c r="G32" i="1"/>
  <c r="H32" i="1"/>
  <c r="I32" i="1"/>
  <c r="J32" i="1"/>
  <c r="K32" i="1"/>
  <c r="F31" i="1"/>
  <c r="G31" i="1"/>
  <c r="H31" i="1"/>
  <c r="I31" i="1"/>
  <c r="J31" i="1"/>
  <c r="K31" i="1"/>
  <c r="F30" i="1"/>
  <c r="G30" i="1"/>
  <c r="H30" i="1"/>
  <c r="I30" i="1"/>
  <c r="J30" i="1"/>
  <c r="K30" i="1"/>
  <c r="M133" i="1" l="1"/>
  <c r="N133" i="1" s="1"/>
  <c r="O133" i="1" s="1"/>
  <c r="P133" i="1" s="1"/>
  <c r="Q133" i="1" s="1"/>
  <c r="I181" i="1"/>
  <c r="I224" i="1"/>
  <c r="H181" i="1"/>
  <c r="H224" i="1"/>
  <c r="G181" i="1"/>
  <c r="G224" i="1"/>
  <c r="F181" i="1"/>
  <c r="F224" i="1"/>
  <c r="J181" i="1"/>
  <c r="J224" i="1"/>
  <c r="M140" i="1"/>
  <c r="N140" i="1" s="1"/>
  <c r="O140" i="1" s="1"/>
  <c r="P140" i="1" s="1"/>
  <c r="Q140" i="1" s="1"/>
  <c r="N149" i="1"/>
  <c r="K163" i="1"/>
  <c r="K164" i="1" s="1"/>
  <c r="K153" i="1"/>
  <c r="L152" i="1"/>
  <c r="O149" i="1"/>
  <c r="L142" i="1"/>
  <c r="M139" i="1"/>
  <c r="L147" i="1"/>
  <c r="L150" i="1" s="1"/>
  <c r="L136" i="1"/>
  <c r="K181" i="1" l="1"/>
  <c r="K224" i="1"/>
  <c r="M148" i="1"/>
  <c r="N148" i="1"/>
  <c r="L163" i="1"/>
  <c r="L170" i="1" s="1"/>
  <c r="M152" i="1"/>
  <c r="L153" i="1"/>
  <c r="L162" i="1"/>
  <c r="M147" i="1"/>
  <c r="M136" i="1"/>
  <c r="O148" i="1"/>
  <c r="N139" i="1"/>
  <c r="M142" i="1"/>
  <c r="Q149" i="1"/>
  <c r="P149" i="1"/>
  <c r="L224" i="1" l="1"/>
  <c r="L225" i="1" s="1"/>
  <c r="J253" i="1" s="1"/>
  <c r="K253" i="1" s="1"/>
  <c r="Q253" i="1" s="1"/>
  <c r="L284" i="1"/>
  <c r="L164" i="1"/>
  <c r="M150" i="1"/>
  <c r="M162" i="1" s="1"/>
  <c r="L8" i="1"/>
  <c r="L181" i="1"/>
  <c r="M163" i="1"/>
  <c r="M170" i="1" s="1"/>
  <c r="N152" i="1"/>
  <c r="L169" i="1"/>
  <c r="L171" i="1" s="1"/>
  <c r="O139" i="1"/>
  <c r="N142" i="1"/>
  <c r="Q148" i="1"/>
  <c r="P148" i="1"/>
  <c r="N136" i="1"/>
  <c r="N147" i="1"/>
  <c r="N150" i="1" s="1"/>
  <c r="L378" i="1" l="1"/>
  <c r="L447" i="1" s="1"/>
  <c r="K24" i="4"/>
  <c r="K25" i="4" s="1"/>
  <c r="N253" i="1"/>
  <c r="P253" i="1"/>
  <c r="L253" i="1"/>
  <c r="M253" i="1"/>
  <c r="O253" i="1"/>
  <c r="L286" i="1"/>
  <c r="L307" i="1" s="1"/>
  <c r="L321" i="1" s="1"/>
  <c r="L322" i="1" s="1"/>
  <c r="L323" i="1" s="1"/>
  <c r="M320" i="1" s="1"/>
  <c r="L285" i="1"/>
  <c r="L12" i="1"/>
  <c r="L13" i="1"/>
  <c r="M153" i="1"/>
  <c r="M164" i="1"/>
  <c r="L199" i="1"/>
  <c r="L81" i="1" s="1"/>
  <c r="L206" i="1"/>
  <c r="L107" i="1" s="1"/>
  <c r="L205" i="1"/>
  <c r="L102" i="1" s="1"/>
  <c r="L204" i="1"/>
  <c r="L83" i="1" s="1"/>
  <c r="N163" i="1"/>
  <c r="N170" i="1" s="1"/>
  <c r="O152" i="1"/>
  <c r="L9" i="1"/>
  <c r="M169" i="1"/>
  <c r="M171" i="1" s="1"/>
  <c r="N153" i="1"/>
  <c r="N162" i="1"/>
  <c r="O136" i="1"/>
  <c r="O147" i="1"/>
  <c r="O150" i="1" s="1"/>
  <c r="P139" i="1"/>
  <c r="O142" i="1"/>
  <c r="M284" i="1" l="1"/>
  <c r="M286" i="1" s="1"/>
  <c r="M307" i="1" s="1"/>
  <c r="M321" i="1" s="1"/>
  <c r="M322" i="1" s="1"/>
  <c r="M323" i="1" s="1"/>
  <c r="N320" i="1" s="1"/>
  <c r="N224" i="1"/>
  <c r="N225" i="1" s="1"/>
  <c r="J255" i="1" s="1"/>
  <c r="K255" i="1" s="1"/>
  <c r="L255" i="1" s="1"/>
  <c r="N284" i="1"/>
  <c r="L53" i="1"/>
  <c r="L309" i="1"/>
  <c r="L52" i="1"/>
  <c r="L301" i="1"/>
  <c r="L315" i="1" s="1"/>
  <c r="M8" i="1"/>
  <c r="L24" i="4" s="1"/>
  <c r="L25" i="4" s="1"/>
  <c r="M224" i="1"/>
  <c r="M225" i="1" s="1"/>
  <c r="J254" i="1" s="1"/>
  <c r="K254" i="1" s="1"/>
  <c r="M181" i="1"/>
  <c r="L10" i="1"/>
  <c r="L30" i="1" s="1"/>
  <c r="L182" i="1"/>
  <c r="N164" i="1"/>
  <c r="N8" i="1"/>
  <c r="N181" i="1"/>
  <c r="O163" i="1"/>
  <c r="O170" i="1" s="1"/>
  <c r="P152" i="1"/>
  <c r="M9" i="1"/>
  <c r="N169" i="1"/>
  <c r="N171" i="1" s="1"/>
  <c r="O153" i="1"/>
  <c r="O162" i="1"/>
  <c r="Q139" i="1"/>
  <c r="Q142" i="1" s="1"/>
  <c r="P142" i="1"/>
  <c r="P136" i="1"/>
  <c r="P147" i="1"/>
  <c r="P150" i="1" s="1"/>
  <c r="N378" i="1" l="1"/>
  <c r="N447" i="1" s="1"/>
  <c r="M24" i="4"/>
  <c r="M25" i="4" s="1"/>
  <c r="L563" i="1"/>
  <c r="L570" i="1"/>
  <c r="M13" i="1"/>
  <c r="M378" i="1"/>
  <c r="M447" i="1" s="1"/>
  <c r="M12" i="1"/>
  <c r="M205" i="1"/>
  <c r="M102" i="1" s="1"/>
  <c r="L316" i="1"/>
  <c r="L336" i="1" s="1"/>
  <c r="L348" i="1" s="1"/>
  <c r="N255" i="1"/>
  <c r="O255" i="1"/>
  <c r="M255" i="1"/>
  <c r="M306" i="1"/>
  <c r="L89" i="1"/>
  <c r="L56" i="1"/>
  <c r="P255" i="1"/>
  <c r="M285" i="1"/>
  <c r="M301" i="1" s="1"/>
  <c r="M315" i="1" s="1"/>
  <c r="Q255" i="1"/>
  <c r="N286" i="1"/>
  <c r="N307" i="1" s="1"/>
  <c r="N321" i="1" s="1"/>
  <c r="N322" i="1" s="1"/>
  <c r="N285" i="1"/>
  <c r="O224" i="1"/>
  <c r="O225" i="1" s="1"/>
  <c r="J256" i="1" s="1"/>
  <c r="K256" i="1" s="1"/>
  <c r="M256" i="1" s="1"/>
  <c r="O284" i="1"/>
  <c r="M53" i="1"/>
  <c r="L254" i="1"/>
  <c r="M254" i="1"/>
  <c r="Q254" i="1"/>
  <c r="P254" i="1"/>
  <c r="N254" i="1"/>
  <c r="O254" i="1"/>
  <c r="L200" i="1"/>
  <c r="L100" i="1" s="1"/>
  <c r="L402" i="1" s="1"/>
  <c r="L405" i="1" s="1"/>
  <c r="L201" i="1"/>
  <c r="L84" i="1" s="1"/>
  <c r="L15" i="1"/>
  <c r="M199" i="1"/>
  <c r="M81" i="1" s="1"/>
  <c r="M204" i="1"/>
  <c r="M83" i="1" s="1"/>
  <c r="M206" i="1"/>
  <c r="M107" i="1" s="1"/>
  <c r="N13" i="1"/>
  <c r="N12" i="1"/>
  <c r="M10" i="1"/>
  <c r="M30" i="1" s="1"/>
  <c r="M182" i="1"/>
  <c r="O164" i="1"/>
  <c r="N205" i="1"/>
  <c r="N102" i="1" s="1"/>
  <c r="N206" i="1"/>
  <c r="N107" i="1" s="1"/>
  <c r="N204" i="1"/>
  <c r="N83" i="1" s="1"/>
  <c r="N199" i="1"/>
  <c r="N81" i="1" s="1"/>
  <c r="L207" i="1"/>
  <c r="L213" i="1" s="1"/>
  <c r="L46" i="1" s="1"/>
  <c r="O8" i="1"/>
  <c r="O181" i="1"/>
  <c r="P163" i="1"/>
  <c r="P170" i="1" s="1"/>
  <c r="Q152" i="1"/>
  <c r="Q163" i="1" s="1"/>
  <c r="Q170" i="1" s="1"/>
  <c r="N9" i="1"/>
  <c r="O169" i="1"/>
  <c r="O171" i="1" s="1"/>
  <c r="P153" i="1"/>
  <c r="P162" i="1"/>
  <c r="Q136" i="1"/>
  <c r="Q147" i="1"/>
  <c r="O378" i="1" l="1"/>
  <c r="O447" i="1" s="1"/>
  <c r="N24" i="4"/>
  <c r="N25" i="4" s="1"/>
  <c r="L421" i="1"/>
  <c r="K38" i="4"/>
  <c r="Q150" i="1"/>
  <c r="Q153" i="1" s="1"/>
  <c r="M400" i="1"/>
  <c r="N323" i="1"/>
  <c r="O320" i="1" s="1"/>
  <c r="L317" i="1"/>
  <c r="M314" i="1" s="1"/>
  <c r="M309" i="1"/>
  <c r="N306" i="1" s="1"/>
  <c r="M52" i="1"/>
  <c r="L202" i="1"/>
  <c r="L212" i="1" s="1"/>
  <c r="L45" i="1" s="1"/>
  <c r="P256" i="1"/>
  <c r="O286" i="1"/>
  <c r="O307" i="1" s="1"/>
  <c r="O321" i="1" s="1"/>
  <c r="O285" i="1"/>
  <c r="Q256" i="1"/>
  <c r="N52" i="1"/>
  <c r="N301" i="1"/>
  <c r="N315" i="1" s="1"/>
  <c r="O256" i="1"/>
  <c r="N53" i="1"/>
  <c r="L256" i="1"/>
  <c r="N256" i="1"/>
  <c r="P224" i="1"/>
  <c r="P225" i="1" s="1"/>
  <c r="J257" i="1" s="1"/>
  <c r="K257" i="1" s="1"/>
  <c r="L257" i="1" s="1"/>
  <c r="P284" i="1"/>
  <c r="M201" i="1"/>
  <c r="M84" i="1" s="1"/>
  <c r="M200" i="1"/>
  <c r="M100" i="1" s="1"/>
  <c r="M15" i="1"/>
  <c r="O12" i="1"/>
  <c r="O13" i="1"/>
  <c r="N10" i="1"/>
  <c r="N30" i="1" s="1"/>
  <c r="N182" i="1"/>
  <c r="P164" i="1"/>
  <c r="O204" i="1"/>
  <c r="O83" i="1" s="1"/>
  <c r="O206" i="1"/>
  <c r="O107" i="1" s="1"/>
  <c r="O205" i="1"/>
  <c r="O102" i="1" s="1"/>
  <c r="M207" i="1"/>
  <c r="M213" i="1" s="1"/>
  <c r="M46" i="1" s="1"/>
  <c r="O199" i="1"/>
  <c r="O81" i="1" s="1"/>
  <c r="P8" i="1"/>
  <c r="P181" i="1"/>
  <c r="O9" i="1"/>
  <c r="P169" i="1"/>
  <c r="P171" i="1" s="1"/>
  <c r="P378" i="1" l="1"/>
  <c r="P447" i="1" s="1"/>
  <c r="O24" i="4"/>
  <c r="O25" i="4" s="1"/>
  <c r="Q162" i="1"/>
  <c r="Q164" i="1" s="1"/>
  <c r="M56" i="1"/>
  <c r="M570" i="1"/>
  <c r="M563" i="1"/>
  <c r="L571" i="1"/>
  <c r="L562" i="1"/>
  <c r="N570" i="1"/>
  <c r="N563" i="1"/>
  <c r="M402" i="1"/>
  <c r="O322" i="1"/>
  <c r="O323" i="1" s="1"/>
  <c r="P320" i="1" s="1"/>
  <c r="M316" i="1"/>
  <c r="M336" i="1" s="1"/>
  <c r="M348" i="1" s="1"/>
  <c r="M89" i="1"/>
  <c r="N309" i="1"/>
  <c r="N89" i="1" s="1"/>
  <c r="N56" i="1"/>
  <c r="L215" i="1"/>
  <c r="M202" i="1"/>
  <c r="M212" i="1" s="1"/>
  <c r="P257" i="1"/>
  <c r="O257" i="1"/>
  <c r="Q224" i="1"/>
  <c r="Q284" i="1"/>
  <c r="Q257" i="1"/>
  <c r="P286" i="1"/>
  <c r="P307" i="1" s="1"/>
  <c r="P321" i="1" s="1"/>
  <c r="P285" i="1"/>
  <c r="N257" i="1"/>
  <c r="M257" i="1"/>
  <c r="O52" i="1"/>
  <c r="O301" i="1"/>
  <c r="O315" i="1" s="1"/>
  <c r="O53" i="1"/>
  <c r="N201" i="1"/>
  <c r="N84" i="1" s="1"/>
  <c r="N200" i="1"/>
  <c r="N100" i="1" s="1"/>
  <c r="N15" i="1"/>
  <c r="P12" i="1"/>
  <c r="P13" i="1"/>
  <c r="O10" i="1"/>
  <c r="O30" i="1" s="1"/>
  <c r="O182" i="1"/>
  <c r="P206" i="1"/>
  <c r="P107" i="1" s="1"/>
  <c r="P204" i="1"/>
  <c r="P83" i="1" s="1"/>
  <c r="P205" i="1"/>
  <c r="P102" i="1" s="1"/>
  <c r="N207" i="1"/>
  <c r="N213" i="1" s="1"/>
  <c r="N46" i="1" s="1"/>
  <c r="P199" i="1"/>
  <c r="P81" i="1" s="1"/>
  <c r="Q8" i="1"/>
  <c r="Q181" i="1"/>
  <c r="P9" i="1"/>
  <c r="N400" i="1" l="1"/>
  <c r="M405" i="1"/>
  <c r="Q169" i="1"/>
  <c r="Q171" i="1" s="1"/>
  <c r="Q9" i="1" s="1"/>
  <c r="N421" i="1"/>
  <c r="M38" i="4"/>
  <c r="M421" i="1"/>
  <c r="L38" i="4"/>
  <c r="Q378" i="1"/>
  <c r="Q447" i="1" s="1"/>
  <c r="P24" i="4"/>
  <c r="P25" i="4" s="1"/>
  <c r="O570" i="1"/>
  <c r="O563" i="1"/>
  <c r="N402" i="1"/>
  <c r="N405" i="1" s="1"/>
  <c r="P322" i="1"/>
  <c r="P323" i="1" s="1"/>
  <c r="Q320" i="1" s="1"/>
  <c r="M215" i="1"/>
  <c r="M45" i="1"/>
  <c r="M317" i="1"/>
  <c r="N314" i="1" s="1"/>
  <c r="O306" i="1"/>
  <c r="O309" i="1" s="1"/>
  <c r="O56" i="1"/>
  <c r="N202" i="1"/>
  <c r="N212" i="1" s="1"/>
  <c r="N45" i="1" s="1"/>
  <c r="P53" i="1"/>
  <c r="Q286" i="1"/>
  <c r="Q307" i="1" s="1"/>
  <c r="Q321" i="1" s="1"/>
  <c r="P301" i="1"/>
  <c r="P315" i="1" s="1"/>
  <c r="P52" i="1"/>
  <c r="O200" i="1"/>
  <c r="O100" i="1" s="1"/>
  <c r="O201" i="1"/>
  <c r="O84" i="1" s="1"/>
  <c r="O15" i="1"/>
  <c r="Q13" i="1"/>
  <c r="P10" i="1"/>
  <c r="P30" i="1" s="1"/>
  <c r="P182" i="1"/>
  <c r="Q206" i="1"/>
  <c r="Q107" i="1" s="1"/>
  <c r="Q204" i="1"/>
  <c r="Q83" i="1" s="1"/>
  <c r="Q205" i="1"/>
  <c r="Q102" i="1" s="1"/>
  <c r="O207" i="1"/>
  <c r="O213" i="1" s="1"/>
  <c r="O46" i="1" s="1"/>
  <c r="Q199" i="1"/>
  <c r="Q81" i="1" s="1"/>
  <c r="P207" i="1"/>
  <c r="O421" i="1" l="1"/>
  <c r="N38" i="4"/>
  <c r="M562" i="1"/>
  <c r="M571" i="1"/>
  <c r="P563" i="1"/>
  <c r="P570" i="1"/>
  <c r="N562" i="1"/>
  <c r="N571" i="1"/>
  <c r="O400" i="1"/>
  <c r="O402" i="1" s="1"/>
  <c r="O405" i="1" s="1"/>
  <c r="Q322" i="1"/>
  <c r="Q323" i="1" s="1"/>
  <c r="N316" i="1"/>
  <c r="N336" i="1" s="1"/>
  <c r="N348" i="1" s="1"/>
  <c r="P56" i="1"/>
  <c r="N215" i="1"/>
  <c r="P306" i="1"/>
  <c r="P309" i="1" s="1"/>
  <c r="O89" i="1"/>
  <c r="O202" i="1"/>
  <c r="O212" i="1" s="1"/>
  <c r="O45" i="1" s="1"/>
  <c r="Q53" i="1"/>
  <c r="P200" i="1"/>
  <c r="P100" i="1" s="1"/>
  <c r="P201" i="1"/>
  <c r="P84" i="1" s="1"/>
  <c r="P15" i="1"/>
  <c r="Q10" i="1"/>
  <c r="Q30" i="1" s="1"/>
  <c r="Q182" i="1"/>
  <c r="Q207" i="1"/>
  <c r="Q213" i="1" s="1"/>
  <c r="Q46" i="1" s="1"/>
  <c r="P213" i="1"/>
  <c r="P46" i="1" s="1"/>
  <c r="P421" i="1" l="1"/>
  <c r="O38" i="4"/>
  <c r="O571" i="1"/>
  <c r="O562" i="1"/>
  <c r="P400" i="1"/>
  <c r="P402" i="1" s="1"/>
  <c r="P405" i="1" s="1"/>
  <c r="N317" i="1"/>
  <c r="O314" i="1" s="1"/>
  <c r="O316" i="1" s="1"/>
  <c r="O336" i="1" s="1"/>
  <c r="O348" i="1" s="1"/>
  <c r="O215" i="1"/>
  <c r="Q306" i="1"/>
  <c r="Q309" i="1" s="1"/>
  <c r="Q89" i="1" s="1"/>
  <c r="P89" i="1"/>
  <c r="P202" i="1"/>
  <c r="P212" i="1" s="1"/>
  <c r="Q201" i="1"/>
  <c r="Q84" i="1" s="1"/>
  <c r="Q200" i="1"/>
  <c r="Q100" i="1" s="1"/>
  <c r="O317" i="1" l="1"/>
  <c r="P314" i="1" s="1"/>
  <c r="P316" i="1" s="1"/>
  <c r="P336" i="1" s="1"/>
  <c r="P348" i="1" s="1"/>
  <c r="Q400" i="1"/>
  <c r="Q402" i="1" s="1"/>
  <c r="Q405" i="1" s="1"/>
  <c r="P215" i="1"/>
  <c r="P45" i="1"/>
  <c r="Q202" i="1"/>
  <c r="Q212" i="1" s="1"/>
  <c r="Q45" i="1" s="1"/>
  <c r="Q562" i="1" l="1"/>
  <c r="Q571" i="1"/>
  <c r="P571" i="1"/>
  <c r="P562" i="1"/>
  <c r="P317" i="1"/>
  <c r="Q314" i="1" s="1"/>
  <c r="Q215" i="1"/>
  <c r="M233" i="1"/>
  <c r="M266" i="1" s="1"/>
  <c r="N233" i="1" l="1"/>
  <c r="N266" i="1" s="1"/>
  <c r="O233" i="1" l="1"/>
  <c r="P233" i="1" l="1"/>
  <c r="P266" i="1" s="1"/>
  <c r="O266" i="1"/>
  <c r="Q233" i="1" l="1"/>
  <c r="Q266" i="1" s="1"/>
  <c r="M77" i="3" l="1"/>
  <c r="Q12" i="1" s="1"/>
  <c r="Q15" i="1" s="1"/>
  <c r="L109" i="1" l="1"/>
  <c r="M109" i="1"/>
  <c r="N109" i="1"/>
  <c r="O109" i="1"/>
  <c r="P109" i="1"/>
  <c r="Q109" i="1"/>
  <c r="M93" i="3"/>
  <c r="Q225" i="1" s="1"/>
  <c r="J258" i="1" s="1"/>
  <c r="K258" i="1" s="1"/>
  <c r="P258" i="1" l="1"/>
  <c r="P267" i="1" s="1"/>
  <c r="P268" i="1" s="1"/>
  <c r="N258" i="1"/>
  <c r="N267" i="1" s="1"/>
  <c r="N268" i="1" s="1"/>
  <c r="L258" i="1"/>
  <c r="L267" i="1" s="1"/>
  <c r="L268" i="1" s="1"/>
  <c r="M258" i="1"/>
  <c r="M267" i="1" s="1"/>
  <c r="M268" i="1" s="1"/>
  <c r="Q258" i="1"/>
  <c r="Q267" i="1" s="1"/>
  <c r="Q268" i="1" s="1"/>
  <c r="O258" i="1"/>
  <c r="O267" i="1" s="1"/>
  <c r="O268" i="1" s="1"/>
  <c r="Q285" i="1"/>
  <c r="O302" i="1" l="1"/>
  <c r="O272" i="1"/>
  <c r="N272" i="1"/>
  <c r="N302" i="1"/>
  <c r="Q52" i="1"/>
  <c r="Q301" i="1"/>
  <c r="Q315" i="1" s="1"/>
  <c r="Q302" i="1"/>
  <c r="Q272" i="1"/>
  <c r="M302" i="1"/>
  <c r="M272" i="1"/>
  <c r="L302" i="1"/>
  <c r="L303" i="1" s="1"/>
  <c r="L272" i="1"/>
  <c r="P272" i="1"/>
  <c r="P302" i="1"/>
  <c r="P17" i="1" l="1"/>
  <c r="P18" i="1" s="1"/>
  <c r="P43" i="1"/>
  <c r="P559" i="1" s="1"/>
  <c r="P335" i="1"/>
  <c r="P347" i="1" s="1"/>
  <c r="L17" i="1"/>
  <c r="L18" i="1" s="1"/>
  <c r="L335" i="1"/>
  <c r="L347" i="1" s="1"/>
  <c r="L43" i="1"/>
  <c r="L559" i="1" s="1"/>
  <c r="Q316" i="1"/>
  <c r="Q336" i="1" s="1"/>
  <c r="Q348" i="1" s="1"/>
  <c r="M300" i="1"/>
  <c r="M303" i="1" s="1"/>
  <c r="L88" i="1"/>
  <c r="Q56" i="1"/>
  <c r="Q563" i="1"/>
  <c r="Q570" i="1"/>
  <c r="M17" i="1"/>
  <c r="M18" i="1" s="1"/>
  <c r="M43" i="1"/>
  <c r="M559" i="1" s="1"/>
  <c r="M335" i="1"/>
  <c r="M347" i="1" s="1"/>
  <c r="N335" i="1"/>
  <c r="N347" i="1" s="1"/>
  <c r="N17" i="1"/>
  <c r="N18" i="1" s="1"/>
  <c r="N43" i="1"/>
  <c r="N559" i="1" s="1"/>
  <c r="O17" i="1"/>
  <c r="O18" i="1" s="1"/>
  <c r="O335" i="1"/>
  <c r="O347" i="1" s="1"/>
  <c r="O43" i="1"/>
  <c r="O559" i="1" s="1"/>
  <c r="Q335" i="1"/>
  <c r="Q347" i="1" s="1"/>
  <c r="Q17" i="1"/>
  <c r="Q18" i="1" s="1"/>
  <c r="Q43" i="1"/>
  <c r="Q559" i="1" s="1"/>
  <c r="L24" i="5" l="1"/>
  <c r="K24" i="5" s="1"/>
  <c r="I191" i="4" s="1"/>
  <c r="L23" i="5"/>
  <c r="K23" i="5" s="1"/>
  <c r="G191" i="4" s="1"/>
  <c r="Q317" i="1"/>
  <c r="N31" i="1"/>
  <c r="N568" i="1"/>
  <c r="M27" i="4"/>
  <c r="Q31" i="1"/>
  <c r="Q632" i="1"/>
  <c r="Q636" i="1" s="1"/>
  <c r="Q643" i="1" s="1"/>
  <c r="Q650" i="1" s="1"/>
  <c r="K657" i="1" s="1"/>
  <c r="Q568" i="1"/>
  <c r="P27" i="4"/>
  <c r="M568" i="1"/>
  <c r="L27" i="4"/>
  <c r="M31" i="1"/>
  <c r="O31" i="1"/>
  <c r="O568" i="1"/>
  <c r="N27" i="4"/>
  <c r="L31" i="1"/>
  <c r="K27" i="4"/>
  <c r="L568" i="1"/>
  <c r="P38" i="4"/>
  <c r="Q421" i="1"/>
  <c r="M88" i="1"/>
  <c r="N300" i="1"/>
  <c r="N303" i="1" s="1"/>
  <c r="P31" i="1"/>
  <c r="P568" i="1"/>
  <c r="O27" i="4"/>
  <c r="P29" i="4" l="1"/>
  <c r="P28" i="4"/>
  <c r="O300" i="1"/>
  <c r="O303" i="1" s="1"/>
  <c r="N88" i="1"/>
  <c r="O28" i="4"/>
  <c r="O29" i="4"/>
  <c r="M28" i="4"/>
  <c r="M29" i="4"/>
  <c r="P12" i="5" s="1"/>
  <c r="K28" i="4"/>
  <c r="K29" i="4"/>
  <c r="N28" i="4"/>
  <c r="N29" i="4"/>
  <c r="L28" i="4"/>
  <c r="L29" i="4"/>
  <c r="O12" i="5" s="1"/>
  <c r="P300" i="1" l="1"/>
  <c r="P303" i="1" s="1"/>
  <c r="O88" i="1"/>
  <c r="P88" i="1" l="1"/>
  <c r="Q300" i="1"/>
  <c r="Q303" i="1" s="1"/>
  <c r="Q88" i="1" s="1"/>
  <c r="J491" i="1"/>
  <c r="K491" i="1" s="1"/>
  <c r="L491" i="1" s="1"/>
  <c r="J492" i="1"/>
  <c r="K492" i="1" s="1"/>
  <c r="J493" i="1"/>
  <c r="K493" i="1" s="1"/>
  <c r="L493" i="1" s="1"/>
  <c r="J494" i="1"/>
  <c r="K494" i="1" s="1"/>
  <c r="J495" i="1"/>
  <c r="J496" i="1"/>
  <c r="K496" i="1" s="1"/>
  <c r="J501" i="1"/>
  <c r="K501" i="1" s="1"/>
  <c r="J502" i="1"/>
  <c r="K502" i="1" s="1"/>
  <c r="J503" i="1"/>
  <c r="K503" i="1" s="1"/>
  <c r="J504" i="1"/>
  <c r="K504" i="1" s="1"/>
  <c r="J505" i="1"/>
  <c r="K505" i="1" s="1"/>
  <c r="J506" i="1"/>
  <c r="K506" i="1" s="1"/>
  <c r="O496" i="1" l="1"/>
  <c r="P496" i="1"/>
  <c r="Q496" i="1"/>
  <c r="M496" i="1"/>
  <c r="N496" i="1"/>
  <c r="L496" i="1"/>
  <c r="O494" i="1"/>
  <c r="P494" i="1"/>
  <c r="Q494" i="1"/>
  <c r="M494" i="1"/>
  <c r="N494" i="1"/>
  <c r="L494" i="1"/>
  <c r="L504" i="1" s="1"/>
  <c r="L503" i="1"/>
  <c r="O492" i="1"/>
  <c r="P492" i="1"/>
  <c r="Q492" i="1"/>
  <c r="M492" i="1"/>
  <c r="N492" i="1"/>
  <c r="L492" i="1"/>
  <c r="L488" i="1"/>
  <c r="L501" i="1"/>
  <c r="N491" i="1"/>
  <c r="N493" i="1"/>
  <c r="O491" i="1"/>
  <c r="P491" i="1"/>
  <c r="Q491" i="1"/>
  <c r="M491" i="1"/>
  <c r="M501" i="1" s="1"/>
  <c r="K495" i="1"/>
  <c r="O493" i="1"/>
  <c r="P493" i="1"/>
  <c r="Q493" i="1"/>
  <c r="M493" i="1"/>
  <c r="O502" i="1" l="1"/>
  <c r="N506" i="1"/>
  <c r="N502" i="1"/>
  <c r="N504" i="1"/>
  <c r="P506" i="1"/>
  <c r="P502" i="1"/>
  <c r="N501" i="1"/>
  <c r="P503" i="1"/>
  <c r="O506" i="1"/>
  <c r="M504" i="1"/>
  <c r="M502" i="1"/>
  <c r="M506" i="1"/>
  <c r="O503" i="1"/>
  <c r="N503" i="1"/>
  <c r="Q502" i="1"/>
  <c r="Q506" i="1"/>
  <c r="L502" i="1"/>
  <c r="O495" i="1"/>
  <c r="O513" i="1" s="1"/>
  <c r="P495" i="1"/>
  <c r="P513" i="1" s="1"/>
  <c r="Q495" i="1"/>
  <c r="Q513" i="1" s="1"/>
  <c r="M495" i="1"/>
  <c r="M513" i="1" s="1"/>
  <c r="L495" i="1"/>
  <c r="N495" i="1"/>
  <c r="N513" i="1" s="1"/>
  <c r="L506" i="1"/>
  <c r="Q504" i="1"/>
  <c r="M503" i="1"/>
  <c r="P504" i="1"/>
  <c r="P501" i="1"/>
  <c r="Q503" i="1"/>
  <c r="Q501" i="1"/>
  <c r="O504" i="1"/>
  <c r="O501" i="1"/>
  <c r="M82" i="1" l="1"/>
  <c r="N511" i="1"/>
  <c r="N512" i="1" s="1"/>
  <c r="Q82" i="1"/>
  <c r="P82" i="1"/>
  <c r="Q511" i="1"/>
  <c r="Q512" i="1" s="1"/>
  <c r="P511" i="1"/>
  <c r="P516" i="1" s="1"/>
  <c r="O82" i="1"/>
  <c r="N82" i="1"/>
  <c r="O511" i="1"/>
  <c r="O516" i="1" s="1"/>
  <c r="N505" i="1"/>
  <c r="N521" i="1" s="1"/>
  <c r="O505" i="1"/>
  <c r="O521" i="1" s="1"/>
  <c r="P505" i="1"/>
  <c r="P521" i="1" s="1"/>
  <c r="L505" i="1"/>
  <c r="L521" i="1" s="1"/>
  <c r="Q505" i="1"/>
  <c r="Q521" i="1" s="1"/>
  <c r="M505" i="1"/>
  <c r="M521" i="1" s="1"/>
  <c r="L513" i="1"/>
  <c r="Q516" i="1" l="1"/>
  <c r="O512" i="1"/>
  <c r="O92" i="1"/>
  <c r="P519" i="1"/>
  <c r="P524" i="1" s="1"/>
  <c r="O519" i="1"/>
  <c r="O520" i="1" s="1"/>
  <c r="N92" i="1"/>
  <c r="Q519" i="1"/>
  <c r="Q520" i="1" s="1"/>
  <c r="Q47" i="1" s="1"/>
  <c r="P92" i="1"/>
  <c r="L512" i="1"/>
  <c r="L82" i="1"/>
  <c r="M511" i="1"/>
  <c r="L516" i="1"/>
  <c r="Q92" i="1"/>
  <c r="N519" i="1"/>
  <c r="N524" i="1" s="1"/>
  <c r="M92" i="1"/>
  <c r="N516" i="1"/>
  <c r="P512" i="1"/>
  <c r="M519" i="1"/>
  <c r="M524" i="1" s="1"/>
  <c r="L92" i="1"/>
  <c r="L524" i="1"/>
  <c r="L520" i="1"/>
  <c r="O47" i="1" l="1"/>
  <c r="O572" i="1" s="1"/>
  <c r="Q524" i="1"/>
  <c r="P520" i="1"/>
  <c r="P47" i="1" s="1"/>
  <c r="L47" i="1"/>
  <c r="L572" i="1" s="1"/>
  <c r="M520" i="1"/>
  <c r="Q572" i="1"/>
  <c r="Q561" i="1"/>
  <c r="O524" i="1"/>
  <c r="N520" i="1"/>
  <c r="N47" i="1" s="1"/>
  <c r="M512" i="1"/>
  <c r="M516" i="1"/>
  <c r="O561" i="1" l="1"/>
  <c r="M47" i="1"/>
  <c r="M561" i="1" s="1"/>
  <c r="L561" i="1"/>
  <c r="N561" i="1"/>
  <c r="N572" i="1"/>
  <c r="P561" i="1"/>
  <c r="P572" i="1"/>
  <c r="M572" i="1" l="1"/>
  <c r="L25" i="5"/>
  <c r="K25" i="5" s="1"/>
  <c r="L26" i="5"/>
  <c r="K26" i="5" s="1"/>
  <c r="G172" i="4" s="1"/>
  <c r="K172" i="4" l="1"/>
  <c r="M172" i="4" s="1"/>
  <c r="K191" i="4"/>
  <c r="M191" i="4" l="1"/>
  <c r="I172" i="4"/>
  <c r="O200" i="4" l="1"/>
  <c r="P8" i="4" s="1"/>
  <c r="O202" i="4" l="1"/>
  <c r="O204" i="4" s="1"/>
  <c r="M27" i="2" l="1"/>
  <c r="P10" i="4"/>
  <c r="L20" i="1" l="1"/>
  <c r="M20" i="1"/>
  <c r="N20" i="1"/>
  <c r="O20" i="1"/>
  <c r="P20" i="1"/>
  <c r="Q20" i="1"/>
  <c r="L21" i="1"/>
  <c r="M21" i="1"/>
  <c r="N21" i="1"/>
  <c r="O21" i="1"/>
  <c r="P21" i="1"/>
  <c r="Q21" i="1"/>
  <c r="L23" i="1"/>
  <c r="M23" i="1"/>
  <c r="N23" i="1"/>
  <c r="O23" i="1"/>
  <c r="P23" i="1"/>
  <c r="Q23" i="1"/>
  <c r="L24" i="1"/>
  <c r="M24" i="1"/>
  <c r="N24" i="1"/>
  <c r="O24" i="1"/>
  <c r="P24" i="1"/>
  <c r="Q24" i="1"/>
  <c r="L25" i="1"/>
  <c r="M25" i="1"/>
  <c r="N25" i="1"/>
  <c r="O25" i="1"/>
  <c r="P25" i="1"/>
  <c r="Q25" i="1"/>
  <c r="L28" i="1"/>
  <c r="M28" i="1"/>
  <c r="N28" i="1"/>
  <c r="O28" i="1"/>
  <c r="P28" i="1"/>
  <c r="Q28" i="1"/>
  <c r="L32" i="1"/>
  <c r="M32" i="1"/>
  <c r="N32" i="1"/>
  <c r="O32" i="1"/>
  <c r="P32" i="1"/>
  <c r="Q32" i="1"/>
  <c r="L33" i="1"/>
  <c r="M33" i="1"/>
  <c r="N33" i="1"/>
  <c r="O33" i="1"/>
  <c r="P33" i="1"/>
  <c r="Q33" i="1"/>
  <c r="L42" i="1"/>
  <c r="M42" i="1"/>
  <c r="N42" i="1"/>
  <c r="O42" i="1"/>
  <c r="P42" i="1"/>
  <c r="Q42" i="1"/>
  <c r="L44" i="1"/>
  <c r="M44" i="1"/>
  <c r="N44" i="1"/>
  <c r="O44" i="1"/>
  <c r="P44" i="1"/>
  <c r="Q44" i="1"/>
  <c r="L49" i="1"/>
  <c r="M49" i="1"/>
  <c r="N49" i="1"/>
  <c r="O49" i="1"/>
  <c r="P49" i="1"/>
  <c r="Q49" i="1"/>
  <c r="L59" i="1"/>
  <c r="M59" i="1"/>
  <c r="N59" i="1"/>
  <c r="O59" i="1"/>
  <c r="P59" i="1"/>
  <c r="Q59" i="1"/>
  <c r="L61" i="1"/>
  <c r="M61" i="1"/>
  <c r="N61" i="1"/>
  <c r="O61" i="1"/>
  <c r="P61" i="1"/>
  <c r="Q61" i="1"/>
  <c r="L62" i="1"/>
  <c r="M62" i="1"/>
  <c r="N62" i="1"/>
  <c r="O62" i="1"/>
  <c r="P62" i="1"/>
  <c r="Q62" i="1"/>
  <c r="M67" i="1"/>
  <c r="N67" i="1"/>
  <c r="O67" i="1"/>
  <c r="P67" i="1"/>
  <c r="Q67" i="1"/>
  <c r="L68" i="1"/>
  <c r="M68" i="1"/>
  <c r="N68" i="1"/>
  <c r="O68" i="1"/>
  <c r="P68" i="1"/>
  <c r="Q68" i="1"/>
  <c r="L69" i="1"/>
  <c r="M69" i="1"/>
  <c r="N69" i="1"/>
  <c r="O69" i="1"/>
  <c r="P69" i="1"/>
  <c r="Q69" i="1"/>
  <c r="L80" i="1"/>
  <c r="M80" i="1"/>
  <c r="N80" i="1"/>
  <c r="O80" i="1"/>
  <c r="P80" i="1"/>
  <c r="Q80" i="1"/>
  <c r="L86" i="1"/>
  <c r="M86" i="1"/>
  <c r="N86" i="1"/>
  <c r="O86" i="1"/>
  <c r="P86" i="1"/>
  <c r="Q86" i="1"/>
  <c r="L91" i="1"/>
  <c r="M91" i="1"/>
  <c r="N91" i="1"/>
  <c r="O91" i="1"/>
  <c r="P91" i="1"/>
  <c r="Q91" i="1"/>
  <c r="L95" i="1"/>
  <c r="M95" i="1"/>
  <c r="N95" i="1"/>
  <c r="O95" i="1"/>
  <c r="P95" i="1"/>
  <c r="Q95" i="1"/>
  <c r="L97" i="1"/>
  <c r="M97" i="1"/>
  <c r="N97" i="1"/>
  <c r="O97" i="1"/>
  <c r="P97" i="1"/>
  <c r="Q97" i="1"/>
  <c r="L101" i="1"/>
  <c r="M101" i="1"/>
  <c r="N101" i="1"/>
  <c r="O101" i="1"/>
  <c r="P101" i="1"/>
  <c r="Q101" i="1"/>
  <c r="L104" i="1"/>
  <c r="M104" i="1"/>
  <c r="N104" i="1"/>
  <c r="O104" i="1"/>
  <c r="P104" i="1"/>
  <c r="Q104" i="1"/>
  <c r="L111" i="1"/>
  <c r="M111" i="1"/>
  <c r="N111" i="1"/>
  <c r="O111" i="1"/>
  <c r="P111" i="1"/>
  <c r="Q111" i="1"/>
  <c r="L115" i="1"/>
  <c r="M115" i="1"/>
  <c r="N115" i="1"/>
  <c r="O115" i="1"/>
  <c r="P115" i="1"/>
  <c r="Q115" i="1"/>
  <c r="L116" i="1"/>
  <c r="M116" i="1"/>
  <c r="N116" i="1"/>
  <c r="O116" i="1"/>
  <c r="P116" i="1"/>
  <c r="Q116" i="1"/>
  <c r="L118" i="1"/>
  <c r="M118" i="1"/>
  <c r="N118" i="1"/>
  <c r="O118" i="1"/>
  <c r="P118" i="1"/>
  <c r="Q118" i="1"/>
  <c r="L120" i="1"/>
  <c r="M120" i="1"/>
  <c r="N120" i="1"/>
  <c r="O120" i="1"/>
  <c r="P120" i="1"/>
  <c r="Q120" i="1"/>
  <c r="L333" i="1"/>
  <c r="M333" i="1"/>
  <c r="N333" i="1"/>
  <c r="O333" i="1"/>
  <c r="P333" i="1"/>
  <c r="Q333" i="1"/>
  <c r="L334" i="1"/>
  <c r="M334" i="1"/>
  <c r="N334" i="1"/>
  <c r="O334" i="1"/>
  <c r="P334" i="1"/>
  <c r="Q334" i="1"/>
  <c r="E341" i="1"/>
  <c r="L346" i="1"/>
  <c r="M346" i="1"/>
  <c r="N346" i="1"/>
  <c r="O346" i="1"/>
  <c r="P346" i="1"/>
  <c r="Q346" i="1"/>
  <c r="L349" i="1"/>
  <c r="M349" i="1"/>
  <c r="N349" i="1"/>
  <c r="O349" i="1"/>
  <c r="P349" i="1"/>
  <c r="Q349" i="1"/>
  <c r="L352" i="1"/>
  <c r="M352" i="1"/>
  <c r="N352" i="1"/>
  <c r="O352" i="1"/>
  <c r="P352" i="1"/>
  <c r="Q352" i="1"/>
  <c r="L353" i="1"/>
  <c r="M353" i="1"/>
  <c r="N353" i="1"/>
  <c r="O353" i="1"/>
  <c r="P353" i="1"/>
  <c r="Q353" i="1"/>
  <c r="L354" i="1"/>
  <c r="M354" i="1"/>
  <c r="N354" i="1"/>
  <c r="O354" i="1"/>
  <c r="P354" i="1"/>
  <c r="Q354" i="1"/>
  <c r="M357" i="1"/>
  <c r="N357" i="1"/>
  <c r="O357" i="1"/>
  <c r="P357" i="1"/>
  <c r="Q357" i="1"/>
  <c r="L358" i="1"/>
  <c r="M358" i="1"/>
  <c r="N358" i="1"/>
  <c r="O358" i="1"/>
  <c r="P358" i="1"/>
  <c r="Q358" i="1"/>
  <c r="L359" i="1"/>
  <c r="M359" i="1"/>
  <c r="N359" i="1"/>
  <c r="O359" i="1"/>
  <c r="P359" i="1"/>
  <c r="Q359" i="1"/>
  <c r="L360" i="1"/>
  <c r="M360" i="1"/>
  <c r="N360" i="1"/>
  <c r="O360" i="1"/>
  <c r="P360" i="1"/>
  <c r="Q360" i="1"/>
  <c r="L365" i="1"/>
  <c r="M365" i="1"/>
  <c r="N365" i="1"/>
  <c r="O365" i="1"/>
  <c r="P365" i="1"/>
  <c r="Q365" i="1"/>
  <c r="L366" i="1"/>
  <c r="M366" i="1"/>
  <c r="N366" i="1"/>
  <c r="O366" i="1"/>
  <c r="P366" i="1"/>
  <c r="Q366" i="1"/>
  <c r="L367" i="1"/>
  <c r="M367" i="1"/>
  <c r="N367" i="1"/>
  <c r="O367" i="1"/>
  <c r="P367" i="1"/>
  <c r="Q367" i="1"/>
  <c r="M392" i="1"/>
  <c r="N392" i="1"/>
  <c r="O392" i="1"/>
  <c r="P392" i="1"/>
  <c r="Q392" i="1"/>
  <c r="L393" i="1"/>
  <c r="M393" i="1"/>
  <c r="N393" i="1"/>
  <c r="O393" i="1"/>
  <c r="P393" i="1"/>
  <c r="Q393" i="1"/>
  <c r="L394" i="1"/>
  <c r="M394" i="1"/>
  <c r="N394" i="1"/>
  <c r="O394" i="1"/>
  <c r="P394" i="1"/>
  <c r="Q394" i="1"/>
  <c r="L397" i="1"/>
  <c r="M397" i="1"/>
  <c r="N397" i="1"/>
  <c r="O397" i="1"/>
  <c r="P397" i="1"/>
  <c r="Q397" i="1"/>
  <c r="M419" i="1"/>
  <c r="N419" i="1"/>
  <c r="O419" i="1"/>
  <c r="P419" i="1"/>
  <c r="Q419" i="1"/>
  <c r="L420" i="1"/>
  <c r="M420" i="1"/>
  <c r="N420" i="1"/>
  <c r="O420" i="1"/>
  <c r="P420" i="1"/>
  <c r="Q420" i="1"/>
  <c r="L424" i="1"/>
  <c r="M424" i="1"/>
  <c r="N424" i="1"/>
  <c r="O424" i="1"/>
  <c r="P424" i="1"/>
  <c r="Q424" i="1"/>
  <c r="L425" i="1"/>
  <c r="M425" i="1"/>
  <c r="N425" i="1"/>
  <c r="O425" i="1"/>
  <c r="P425" i="1"/>
  <c r="Q425" i="1"/>
  <c r="M428" i="1"/>
  <c r="N428" i="1"/>
  <c r="O428" i="1"/>
  <c r="P428" i="1"/>
  <c r="Q428" i="1"/>
  <c r="L429" i="1"/>
  <c r="M429" i="1"/>
  <c r="N429" i="1"/>
  <c r="O429" i="1"/>
  <c r="P429" i="1"/>
  <c r="Q429" i="1"/>
  <c r="L430" i="1"/>
  <c r="M430" i="1"/>
  <c r="N430" i="1"/>
  <c r="O430" i="1"/>
  <c r="P430" i="1"/>
  <c r="Q430" i="1"/>
  <c r="L433" i="1"/>
  <c r="M433" i="1"/>
  <c r="N433" i="1"/>
  <c r="O433" i="1"/>
  <c r="P433" i="1"/>
  <c r="Q433" i="1"/>
  <c r="L437" i="1"/>
  <c r="M437" i="1"/>
  <c r="N437" i="1"/>
  <c r="O437" i="1"/>
  <c r="P437" i="1"/>
  <c r="Q437" i="1"/>
  <c r="L438" i="1"/>
  <c r="M438" i="1"/>
  <c r="N438" i="1"/>
  <c r="O438" i="1"/>
  <c r="P438" i="1"/>
  <c r="Q438" i="1"/>
  <c r="L439" i="1"/>
  <c r="M439" i="1"/>
  <c r="N439" i="1"/>
  <c r="O439" i="1"/>
  <c r="P439" i="1"/>
  <c r="Q439" i="1"/>
  <c r="L538" i="1"/>
  <c r="M538" i="1"/>
  <c r="N538" i="1"/>
  <c r="O538" i="1"/>
  <c r="P538" i="1"/>
  <c r="Q538" i="1"/>
  <c r="L540" i="1"/>
  <c r="M540" i="1"/>
  <c r="N540" i="1"/>
  <c r="O540" i="1"/>
  <c r="P540" i="1"/>
  <c r="Q540" i="1"/>
  <c r="M545" i="1"/>
  <c r="N545" i="1"/>
  <c r="O545" i="1"/>
  <c r="P545" i="1"/>
  <c r="Q545" i="1"/>
  <c r="L546" i="1"/>
  <c r="M546" i="1"/>
  <c r="N546" i="1"/>
  <c r="O546" i="1"/>
  <c r="P546" i="1"/>
  <c r="Q546" i="1"/>
  <c r="L547" i="1"/>
  <c r="M547" i="1"/>
  <c r="N547" i="1"/>
  <c r="O547" i="1"/>
  <c r="P547" i="1"/>
  <c r="Q547" i="1"/>
  <c r="L548" i="1"/>
  <c r="M548" i="1"/>
  <c r="N548" i="1"/>
  <c r="O548" i="1"/>
  <c r="P548" i="1"/>
  <c r="Q548" i="1"/>
  <c r="L558" i="1"/>
  <c r="M558" i="1"/>
  <c r="N558" i="1"/>
  <c r="O558" i="1"/>
  <c r="P558" i="1"/>
  <c r="Q558" i="1"/>
  <c r="L560" i="1"/>
  <c r="M560" i="1"/>
  <c r="N560" i="1"/>
  <c r="O560" i="1"/>
  <c r="P560" i="1"/>
  <c r="Q560" i="1"/>
  <c r="L564" i="1"/>
  <c r="M564" i="1"/>
  <c r="N564" i="1"/>
  <c r="O564" i="1"/>
  <c r="P564" i="1"/>
  <c r="Q564" i="1"/>
  <c r="L565" i="1"/>
  <c r="M565" i="1"/>
  <c r="N565" i="1"/>
  <c r="O565" i="1"/>
  <c r="P565" i="1"/>
  <c r="Q565" i="1"/>
  <c r="L569" i="1"/>
  <c r="M569" i="1"/>
  <c r="N569" i="1"/>
  <c r="O569" i="1"/>
  <c r="P569" i="1"/>
  <c r="Q569" i="1"/>
  <c r="L573" i="1"/>
  <c r="M573" i="1"/>
  <c r="N573" i="1"/>
  <c r="O573" i="1"/>
  <c r="P573" i="1"/>
  <c r="Q573" i="1"/>
  <c r="L586" i="1"/>
  <c r="M586" i="1"/>
  <c r="N586" i="1"/>
  <c r="O586" i="1"/>
  <c r="P586" i="1"/>
  <c r="Q586" i="1"/>
  <c r="L589" i="1"/>
  <c r="M589" i="1"/>
  <c r="N589" i="1"/>
  <c r="O589" i="1"/>
  <c r="P589" i="1"/>
  <c r="P590" i="1"/>
  <c r="L591" i="1"/>
  <c r="M591" i="1"/>
  <c r="N591" i="1"/>
  <c r="O591" i="1"/>
  <c r="P591" i="1"/>
  <c r="L596" i="1"/>
  <c r="M596" i="1"/>
  <c r="N596" i="1"/>
  <c r="O596" i="1"/>
  <c r="P596" i="1"/>
  <c r="P597" i="1"/>
  <c r="L598" i="1"/>
  <c r="M598" i="1"/>
  <c r="N598" i="1"/>
  <c r="O598" i="1"/>
  <c r="P598" i="1"/>
  <c r="L603" i="1"/>
  <c r="M603" i="1"/>
  <c r="N603" i="1"/>
  <c r="O603" i="1"/>
  <c r="P603" i="1"/>
  <c r="P604" i="1"/>
  <c r="L605" i="1"/>
  <c r="M605" i="1"/>
  <c r="N605" i="1"/>
  <c r="O605" i="1"/>
  <c r="P605" i="1"/>
  <c r="E610" i="1"/>
  <c r="J610" i="1"/>
  <c r="K610" i="1"/>
  <c r="E611" i="1"/>
  <c r="J611" i="1"/>
  <c r="K611" i="1"/>
  <c r="J612" i="1"/>
  <c r="K612" i="1"/>
  <c r="E615" i="1"/>
  <c r="K615" i="1"/>
  <c r="E617" i="1"/>
  <c r="K617" i="1"/>
  <c r="L631" i="1"/>
  <c r="M631" i="1"/>
  <c r="N631" i="1"/>
  <c r="O631" i="1"/>
  <c r="P631" i="1"/>
  <c r="Q631" i="1"/>
  <c r="L635" i="1"/>
  <c r="M635" i="1"/>
  <c r="N635" i="1"/>
  <c r="O635" i="1"/>
  <c r="P635" i="1"/>
  <c r="Q635" i="1"/>
  <c r="L637" i="1"/>
  <c r="M637" i="1"/>
  <c r="N637" i="1"/>
  <c r="O637" i="1"/>
  <c r="P637" i="1"/>
  <c r="Q637" i="1"/>
  <c r="L642" i="1"/>
  <c r="M642" i="1"/>
  <c r="N642" i="1"/>
  <c r="O642" i="1"/>
  <c r="P642" i="1"/>
  <c r="Q642" i="1"/>
  <c r="L644" i="1"/>
  <c r="M644" i="1"/>
  <c r="N644" i="1"/>
  <c r="O644" i="1"/>
  <c r="P644" i="1"/>
  <c r="Q644" i="1"/>
  <c r="L649" i="1"/>
  <c r="M649" i="1"/>
  <c r="N649" i="1"/>
  <c r="O649" i="1"/>
  <c r="P649" i="1"/>
  <c r="Q649" i="1"/>
  <c r="L651" i="1"/>
  <c r="M651" i="1"/>
  <c r="N651" i="1"/>
  <c r="O651" i="1"/>
  <c r="P651" i="1"/>
  <c r="Q651" i="1"/>
  <c r="E656" i="1"/>
  <c r="J656" i="1"/>
  <c r="K656" i="1"/>
  <c r="E657" i="1"/>
  <c r="J657" i="1"/>
  <c r="J658" i="1"/>
  <c r="K658" i="1"/>
  <c r="E661" i="1"/>
  <c r="K661" i="1"/>
  <c r="E663" i="1"/>
  <c r="K663" i="1"/>
  <c r="K31" i="4"/>
  <c r="L31" i="4"/>
  <c r="M31" i="4"/>
  <c r="N31" i="4"/>
  <c r="O31" i="4"/>
  <c r="P31" i="4"/>
  <c r="K32" i="4"/>
  <c r="L32" i="4"/>
  <c r="M32" i="4"/>
  <c r="N32" i="4"/>
  <c r="O32" i="4"/>
  <c r="P32" i="4"/>
  <c r="K33" i="4"/>
  <c r="L33" i="4"/>
  <c r="M33" i="4"/>
  <c r="N33" i="4"/>
  <c r="O33" i="4"/>
  <c r="P33" i="4"/>
  <c r="K37" i="4"/>
  <c r="L37" i="4"/>
  <c r="M37" i="4"/>
  <c r="N37" i="4"/>
  <c r="O37" i="4"/>
  <c r="P37" i="4"/>
  <c r="K39" i="4"/>
  <c r="L39" i="4"/>
  <c r="M39" i="4"/>
  <c r="N39" i="4"/>
  <c r="O39" i="4"/>
  <c r="P39" i="4"/>
  <c r="K40" i="4"/>
  <c r="L40" i="4"/>
  <c r="M40" i="4"/>
  <c r="N40" i="4"/>
  <c r="O40" i="4"/>
  <c r="P40" i="4"/>
  <c r="D73" i="4"/>
  <c r="C83" i="4"/>
  <c r="D111" i="4"/>
  <c r="C1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<sst xmlns="http://schemas.openxmlformats.org/spreadsheetml/2006/main" count="1318" uniqueCount="579">
  <si>
    <t>Revenue</t>
  </si>
  <si>
    <t>EBITDA</t>
  </si>
  <si>
    <t>EBIT</t>
  </si>
  <si>
    <t>EBT</t>
  </si>
  <si>
    <t>Net Income</t>
  </si>
  <si>
    <t>Total Current Assets</t>
  </si>
  <si>
    <t>Total Assets</t>
  </si>
  <si>
    <t>Total Current Liabilities</t>
  </si>
  <si>
    <t>Total Liabilities</t>
  </si>
  <si>
    <t>Retained Earnings</t>
  </si>
  <si>
    <t>2020A</t>
  </si>
  <si>
    <t>2021A</t>
  </si>
  <si>
    <t>2022A</t>
  </si>
  <si>
    <t>2023A</t>
  </si>
  <si>
    <t>2024A</t>
  </si>
  <si>
    <t>2025F</t>
  </si>
  <si>
    <t>COGS</t>
  </si>
  <si>
    <t>Gross Profit</t>
  </si>
  <si>
    <t>R&amp;D Costs</t>
  </si>
  <si>
    <t>SG&amp;A Costs</t>
  </si>
  <si>
    <t>Current Tax</t>
  </si>
  <si>
    <t>Deferred Tax</t>
  </si>
  <si>
    <t>Total Tax</t>
  </si>
  <si>
    <t>Account Receivable</t>
  </si>
  <si>
    <t>Account Payable</t>
  </si>
  <si>
    <t xml:space="preserve"> </t>
  </si>
  <si>
    <t>Common Equity Issuance / (Buyback)</t>
  </si>
  <si>
    <t>Common Dividents Paid</t>
  </si>
  <si>
    <t>Subtotal</t>
  </si>
  <si>
    <t>Beginning of the Year</t>
  </si>
  <si>
    <t>Change</t>
  </si>
  <si>
    <t>End of the Year</t>
  </si>
  <si>
    <t>Total Non-Current Assets</t>
  </si>
  <si>
    <t>Deferred Taxes</t>
  </si>
  <si>
    <t>Long Term Debt</t>
  </si>
  <si>
    <t>Equity</t>
  </si>
  <si>
    <t>Common Equity</t>
  </si>
  <si>
    <t>Total Equity</t>
  </si>
  <si>
    <t>2019A</t>
  </si>
  <si>
    <t>Interest Income / (expense)</t>
  </si>
  <si>
    <t>D&amp;A Costs</t>
  </si>
  <si>
    <t>Other Income</t>
  </si>
  <si>
    <t>Other Investing Activities</t>
  </si>
  <si>
    <t>Debt Issuance / (Repayment)</t>
  </si>
  <si>
    <t>Effect of Exchange Rate Changes</t>
  </si>
  <si>
    <t>PP&amp;E Investment</t>
  </si>
  <si>
    <t>Total Non-Current Liabilities</t>
  </si>
  <si>
    <t>Contract Assets &amp; Liabilities</t>
  </si>
  <si>
    <t>Table of Contents</t>
  </si>
  <si>
    <t>Cover</t>
  </si>
  <si>
    <t>ASML HOLDING NV Financial Model</t>
  </si>
  <si>
    <t>Summary</t>
  </si>
  <si>
    <t>Assumptions</t>
  </si>
  <si>
    <t>Model</t>
  </si>
  <si>
    <t>September 2025</t>
  </si>
  <si>
    <t>LinkedIn</t>
  </si>
  <si>
    <t>Website</t>
  </si>
  <si>
    <t>Company Info</t>
  </si>
  <si>
    <t>Ticker:</t>
  </si>
  <si>
    <t>Industry:</t>
  </si>
  <si>
    <t>Headquarters</t>
  </si>
  <si>
    <t>Veldhoven, Netherlands</t>
  </si>
  <si>
    <t>Semiconductors – Capital Equipment</t>
  </si>
  <si>
    <t>Prepared by Jakub Říha</t>
  </si>
  <si>
    <t>Scope</t>
  </si>
  <si>
    <t>Outputs</t>
  </si>
  <si>
    <t>Equity research model supporting ASML equity report</t>
  </si>
  <si>
    <t>ASML</t>
  </si>
  <si>
    <t>Forecast horizon:</t>
  </si>
  <si>
    <t>Methods:</t>
  </si>
  <si>
    <t>Target Price:</t>
  </si>
  <si>
    <t>Recommendation:</t>
  </si>
  <si>
    <t>By accessing or using this model, you agree that the author shall not be held liable for any loss or damage arising directly or indirectly from any use of the information contained herein.</t>
  </si>
  <si>
    <t>This financial model has been prepared by Jakub Říha for educational and illustrative purposes only. It is not intended to constitute investment advice, an offer, or a solicitation to buy or sell any securities.</t>
  </si>
  <si>
    <t xml:space="preserve">All information contained herein is based on publicly available sources believed to be reliable, but no representation or warranty, express or implied, is made as to its accuracy, completeness, or fairness. </t>
  </si>
  <si>
    <t>Past performance is not indicative of future results. Any opinions, forecasts, estimates, or projections reflect the judgment of the author as of the date of publication and are subject to change without notice.</t>
  </si>
  <si>
    <t xml:space="preserve">The author is not affiliated with ASML Holding NV or any other company mentioned, and this model does not represent the views of any employer, academic institution, or professional body. </t>
  </si>
  <si>
    <t>Users of this material should conduct their own independent analysis and consult with qualified financial professionals before making any investment decisions.</t>
  </si>
  <si>
    <t>2026F</t>
  </si>
  <si>
    <t>2027F</t>
  </si>
  <si>
    <t>2028F</t>
  </si>
  <si>
    <t>2029F</t>
  </si>
  <si>
    <t>Gross Profit Margin</t>
  </si>
  <si>
    <t>EBITDA Margin</t>
  </si>
  <si>
    <t>EBIT Margin</t>
  </si>
  <si>
    <t>Return on Equity</t>
  </si>
  <si>
    <t>Projected</t>
  </si>
  <si>
    <t>Best Case</t>
  </si>
  <si>
    <t>Base Case</t>
  </si>
  <si>
    <t>Worst Case</t>
  </si>
  <si>
    <t>Contract Assets</t>
  </si>
  <si>
    <t>Inventory</t>
  </si>
  <si>
    <t>Days</t>
  </si>
  <si>
    <t>Acount Payable</t>
  </si>
  <si>
    <t>% of revenue</t>
  </si>
  <si>
    <t>First Year Accounting Depreciation</t>
  </si>
  <si>
    <t>Useful Life: Existing Assets</t>
  </si>
  <si>
    <t>Useful Life: New Assets</t>
  </si>
  <si>
    <t>%</t>
  </si>
  <si>
    <t>Days in Period</t>
  </si>
  <si>
    <t>EUV Sales Volume</t>
  </si>
  <si>
    <t>DUV Sales Volume</t>
  </si>
  <si>
    <t>Metrology &amp; Inspection Sales Volume</t>
  </si>
  <si>
    <t>EUV Average Unit Price</t>
  </si>
  <si>
    <t>DUV Average Unit Price</t>
  </si>
  <si>
    <t>Metrology &amp; Inspection Average Unit Price</t>
  </si>
  <si>
    <t>First Day of Forecast</t>
  </si>
  <si>
    <t>days</t>
  </si>
  <si>
    <t>EUV Revenue</t>
  </si>
  <si>
    <t>DUV Revenue</t>
  </si>
  <si>
    <t>Metrology &amp; Inspection Revenue</t>
  </si>
  <si>
    <t>Total Revenue</t>
  </si>
  <si>
    <t>Weighted Average Unit Price</t>
  </si>
  <si>
    <t>EUV Sales Volume Growth</t>
  </si>
  <si>
    <t>DUV Sales Volume Growth</t>
  </si>
  <si>
    <t>Metrology &amp; Inspection Sales Volume Growth</t>
  </si>
  <si>
    <t>EUV Sales Price Growth</t>
  </si>
  <si>
    <t>DUV Sales Price Growth</t>
  </si>
  <si>
    <t>Metrology &amp; Inspection Sales Price Growth</t>
  </si>
  <si>
    <t>Service &amp; Field Option Revenue</t>
  </si>
  <si>
    <t>Service &amp; Field Option Revenue Growth</t>
  </si>
  <si>
    <t>% of Production revenue</t>
  </si>
  <si>
    <t>% of Services revenue</t>
  </si>
  <si>
    <t>Product Revenue</t>
  </si>
  <si>
    <t>Services Revenue</t>
  </si>
  <si>
    <t>Product Costs</t>
  </si>
  <si>
    <t>Services Costs</t>
  </si>
  <si>
    <t>Total Costs</t>
  </si>
  <si>
    <t>Short Term Contract Liabilities</t>
  </si>
  <si>
    <t>Long Term Contract Liabilities</t>
  </si>
  <si>
    <t xml:space="preserve">All figures in EUR Millions unless stated    </t>
  </si>
  <si>
    <t xml:space="preserve"> All figures in EUR Millions unless stated      </t>
  </si>
  <si>
    <t xml:space="preserve">All figures in EUR Millions unless stated      </t>
  </si>
  <si>
    <t>Working Capital</t>
  </si>
  <si>
    <t>CapEx</t>
  </si>
  <si>
    <t>Net PP&amp;E Investment</t>
  </si>
  <si>
    <t>Existing Assets</t>
  </si>
  <si>
    <t>New Assets</t>
  </si>
  <si>
    <t>OPERATING CASH FLOWS</t>
  </si>
  <si>
    <t>DATES</t>
  </si>
  <si>
    <t>CAPEX</t>
  </si>
  <si>
    <t>COSTS</t>
  </si>
  <si>
    <t>PRODUCT PRICE GROWTH</t>
  </si>
  <si>
    <t>PRODUCT VOLUME GROWTH</t>
  </si>
  <si>
    <t>SERVICE REVENUE GROWTH</t>
  </si>
  <si>
    <t>Years</t>
  </si>
  <si>
    <t>Useful Life</t>
  </si>
  <si>
    <t>PP&amp;E at End of 2024</t>
  </si>
  <si>
    <t>millions</t>
  </si>
  <si>
    <t>PERCENT OF FULL YEAR</t>
  </si>
  <si>
    <t>Yr 1</t>
  </si>
  <si>
    <t>Yr 2</t>
  </si>
  <si>
    <t>Yr 3</t>
  </si>
  <si>
    <t>Yr 4</t>
  </si>
  <si>
    <t>Yr 5</t>
  </si>
  <si>
    <t>Yr 6</t>
  </si>
  <si>
    <t>first Year Accounting Depreciation</t>
  </si>
  <si>
    <t>Life</t>
  </si>
  <si>
    <t>Year</t>
  </si>
  <si>
    <t>Per Year</t>
  </si>
  <si>
    <t xml:space="preserve">  </t>
  </si>
  <si>
    <t>Total Depreciation &amp; Amortisation</t>
  </si>
  <si>
    <t>Depreciation &amp; Amortisation</t>
  </si>
  <si>
    <t>Amortisation of Intangibles</t>
  </si>
  <si>
    <t>Purchase of Intangible Assets</t>
  </si>
  <si>
    <t>Net Purchase of Intangibles</t>
  </si>
  <si>
    <t>Intangible Assets</t>
  </si>
  <si>
    <t>Beginning</t>
  </si>
  <si>
    <t>Capital Expenditure</t>
  </si>
  <si>
    <t>Accounting Depreciation</t>
  </si>
  <si>
    <t>Ending</t>
  </si>
  <si>
    <t>Purchases</t>
  </si>
  <si>
    <t>Accounting Amortisation</t>
  </si>
  <si>
    <t>Depreciation</t>
  </si>
  <si>
    <t>Amortisation</t>
  </si>
  <si>
    <t>First Year Tax Depreciation</t>
  </si>
  <si>
    <t>Blended Tax Depreciation Rate</t>
  </si>
  <si>
    <t>First Year Tax Amortisation</t>
  </si>
  <si>
    <t>Blended Tax Amortisation Rate</t>
  </si>
  <si>
    <t>Effective Tax Rate</t>
  </si>
  <si>
    <t>Tax Loses</t>
  </si>
  <si>
    <t>Tax Basis for Assets</t>
  </si>
  <si>
    <t>Tax Basis for Intangibles</t>
  </si>
  <si>
    <t>Profitable Before Taxes?</t>
  </si>
  <si>
    <t>Used Tax Loses Remaining as of 2030</t>
  </si>
  <si>
    <t>Tax Depreciation</t>
  </si>
  <si>
    <t>Adjusted EBT</t>
  </si>
  <si>
    <t>Tax D&amp;A</t>
  </si>
  <si>
    <t>Accounting D&amp;A</t>
  </si>
  <si>
    <t>Taxable Income</t>
  </si>
  <si>
    <t>Current Taxes</t>
  </si>
  <si>
    <t>Total Taxes</t>
  </si>
  <si>
    <t>Interest Earned on Cash</t>
  </si>
  <si>
    <t>Interest on Senior Secured Term Debt</t>
  </si>
  <si>
    <t>Interest for Bank Revolver</t>
  </si>
  <si>
    <t>Interest Rate</t>
  </si>
  <si>
    <t>Income on Cash</t>
  </si>
  <si>
    <t>increase / (decrease)</t>
  </si>
  <si>
    <t>Ending Balance</t>
  </si>
  <si>
    <t>Beginning Balance</t>
  </si>
  <si>
    <t>Increase / (Decrease)</t>
  </si>
  <si>
    <t>Beginning Cash Balance</t>
  </si>
  <si>
    <t>Cash from Operations</t>
  </si>
  <si>
    <t>Cash from Investing</t>
  </si>
  <si>
    <t>Change in Term Debt</t>
  </si>
  <si>
    <t>Change in Common Equity</t>
  </si>
  <si>
    <t>Dividends</t>
  </si>
  <si>
    <t>Cash Available for Revolving Credit Line</t>
  </si>
  <si>
    <t>Interest Expense</t>
  </si>
  <si>
    <t>Net Interest Expense</t>
  </si>
  <si>
    <t>Payout Ratio</t>
  </si>
  <si>
    <t>Dividend</t>
  </si>
  <si>
    <t>Other Non-Current Assets</t>
  </si>
  <si>
    <t>Other Current Liabilities</t>
  </si>
  <si>
    <t>Other Non-Current Liabilities</t>
  </si>
  <si>
    <t>Goodwill</t>
  </si>
  <si>
    <t>Finance Receivables</t>
  </si>
  <si>
    <t>Other Current Assets</t>
  </si>
  <si>
    <t>Cash &amp; Cash Equivalents</t>
  </si>
  <si>
    <t>Accounts Receivable, Net</t>
  </si>
  <si>
    <t>Finance Receivables, Net</t>
  </si>
  <si>
    <t>Inventories, Net</t>
  </si>
  <si>
    <t>Deferred Tax Assets, Net</t>
  </si>
  <si>
    <t>Property, Plant &amp; Equipment, Net</t>
  </si>
  <si>
    <t>Loan Receivables</t>
  </si>
  <si>
    <t>Contract Liabilities</t>
  </si>
  <si>
    <t>Accounts Payable</t>
  </si>
  <si>
    <t>Current Portion of Long Term Debt</t>
  </si>
  <si>
    <t>Interest Earned on Finance Receivables</t>
  </si>
  <si>
    <t>Interest Earned on Loan Receivables</t>
  </si>
  <si>
    <t>Other Operating Activities</t>
  </si>
  <si>
    <t>Loans Issued</t>
  </si>
  <si>
    <t>Term Debt Additions</t>
  </si>
  <si>
    <t>Loans Receivables Additions</t>
  </si>
  <si>
    <t>Finance Receivables Additions</t>
  </si>
  <si>
    <t>% of Revenue</t>
  </si>
  <si>
    <t>Additions</t>
  </si>
  <si>
    <t>years</t>
  </si>
  <si>
    <t>Average Term</t>
  </si>
  <si>
    <t>New Finance Receivables Average Term</t>
  </si>
  <si>
    <t>Income on Loans</t>
  </si>
  <si>
    <t>Current Balance End of 2024</t>
  </si>
  <si>
    <t>Non-Current Balance End of 2024</t>
  </si>
  <si>
    <t>Current Account</t>
  </si>
  <si>
    <t>Non-Current Account</t>
  </si>
  <si>
    <t>Balance</t>
  </si>
  <si>
    <t>Per year</t>
  </si>
  <si>
    <t>Term Debt Additions, Net</t>
  </si>
  <si>
    <t>Finance Receivables Additions, Net</t>
  </si>
  <si>
    <t>Loans Receivables Additions, Net</t>
  </si>
  <si>
    <t>INCOME STATEMENT</t>
  </si>
  <si>
    <t>CASHFLOW STATEMENT</t>
  </si>
  <si>
    <t>BALANCE SHEET</t>
  </si>
  <si>
    <t>REVENUE SCHEDULE</t>
  </si>
  <si>
    <t>COST SCHEDULE</t>
  </si>
  <si>
    <t>WORKING CAPITAL SCHEDULE</t>
  </si>
  <si>
    <t>DEPRECIATION &amp; AMORTISATION SCHEDULE</t>
  </si>
  <si>
    <t>ASSETS &amp; INTANGIBLES SCHEDULE</t>
  </si>
  <si>
    <t>TAX SCHEDULE</t>
  </si>
  <si>
    <t>DEBT &amp; INTEREST SCHEDULE</t>
  </si>
  <si>
    <t>EQUITY SCHEDULE</t>
  </si>
  <si>
    <t>Percent of Full Year</t>
  </si>
  <si>
    <t xml:space="preserve"> Percent of Full Year </t>
  </si>
  <si>
    <t xml:space="preserve"> Amount of Full Year </t>
  </si>
  <si>
    <t>Term</t>
  </si>
  <si>
    <t>WEIGHTED AVERAGE COST OF CAPITAL</t>
  </si>
  <si>
    <t xml:space="preserve">Name </t>
  </si>
  <si>
    <t>Region</t>
  </si>
  <si>
    <t>Debt</t>
  </si>
  <si>
    <t>Average</t>
  </si>
  <si>
    <t>Median</t>
  </si>
  <si>
    <t>Applied Materials</t>
  </si>
  <si>
    <t>Lam Research</t>
  </si>
  <si>
    <t>KLA Corporation</t>
  </si>
  <si>
    <t>Tokyo Electron</t>
  </si>
  <si>
    <t>USA</t>
  </si>
  <si>
    <t>Japan</t>
  </si>
  <si>
    <t>Cost of Equity</t>
  </si>
  <si>
    <t>Risk Free Rate</t>
  </si>
  <si>
    <t>Equity Risk Premium</t>
  </si>
  <si>
    <t>Tax Rate</t>
  </si>
  <si>
    <t>After Tax Cost of Debt</t>
  </si>
  <si>
    <t>Pre Tax Cost of Debt</t>
  </si>
  <si>
    <t>Average Unlevered Beta</t>
  </si>
  <si>
    <t>Current</t>
  </si>
  <si>
    <t>Target</t>
  </si>
  <si>
    <t>Total Debt</t>
  </si>
  <si>
    <t>Market Capitalisation</t>
  </si>
  <si>
    <t>Total Capitalisation</t>
  </si>
  <si>
    <t>Debt / Equity</t>
  </si>
  <si>
    <t>Weighted Average Cost of Capital</t>
  </si>
  <si>
    <t>Weight</t>
  </si>
  <si>
    <t>Cost</t>
  </si>
  <si>
    <t>Debt Capital</t>
  </si>
  <si>
    <t>Equity Capital</t>
  </si>
  <si>
    <t>2030F</t>
  </si>
  <si>
    <t>UNLEVERED FREE CASH FLOW SCHEDULE</t>
  </si>
  <si>
    <t>± Change in Working Capital</t>
  </si>
  <si>
    <t>Unlevered Free Cash Flow</t>
  </si>
  <si>
    <t>Terminal Growth Rate</t>
  </si>
  <si>
    <t>Assets = Liabilities + Equity</t>
  </si>
  <si>
    <t>DISCOUNTED CASHFLOW SCHEDULE: PERPETUITY METHOD</t>
  </si>
  <si>
    <t>Terminal Growth</t>
  </si>
  <si>
    <t>WACC</t>
  </si>
  <si>
    <t>Valuation Date</t>
  </si>
  <si>
    <t>First Expected Cash Flow</t>
  </si>
  <si>
    <t>Fiscal Year Ending</t>
  </si>
  <si>
    <t>Cash Flow Timing</t>
  </si>
  <si>
    <t>Valuation</t>
  </si>
  <si>
    <t>Discrete Forecast</t>
  </si>
  <si>
    <t>DD/MM/YYYY</t>
  </si>
  <si>
    <t>Unlevered Cash Flow</t>
  </si>
  <si>
    <t>Terminal Value</t>
  </si>
  <si>
    <t>Total Cashflow</t>
  </si>
  <si>
    <t>Partial Period Adjustment</t>
  </si>
  <si>
    <t>Years for Discounting</t>
  </si>
  <si>
    <t>Enterprise Value</t>
  </si>
  <si>
    <t>Manual Method</t>
  </si>
  <si>
    <t>XNPV Function</t>
  </si>
  <si>
    <t>PV of Discrete</t>
  </si>
  <si>
    <t>PV of Terminal</t>
  </si>
  <si>
    <t>Equity Value</t>
  </si>
  <si>
    <t>Shares Outstanding</t>
  </si>
  <si>
    <t>€/sh</t>
  </si>
  <si>
    <t>DISCOUNTED CASHFLOW SCHEDULE: MULTIPLES METHOD</t>
  </si>
  <si>
    <t>shares</t>
  </si>
  <si>
    <t>terminal EBITDA Multiple</t>
  </si>
  <si>
    <t>multiple</t>
  </si>
  <si>
    <t>Terminal EBITDA Multiple</t>
  </si>
  <si>
    <t>COMPARABLE TRADING ANALYSIS</t>
  </si>
  <si>
    <t>Ticker</t>
  </si>
  <si>
    <t>Share</t>
  </si>
  <si>
    <t>Price</t>
  </si>
  <si>
    <t>AMAT</t>
  </si>
  <si>
    <t>LRCX</t>
  </si>
  <si>
    <t>KLAC</t>
  </si>
  <si>
    <t>Enterprice</t>
  </si>
  <si>
    <t>Value</t>
  </si>
  <si>
    <t xml:space="preserve">EV / </t>
  </si>
  <si>
    <t>EBITDA growth</t>
  </si>
  <si>
    <t>EPS</t>
  </si>
  <si>
    <t>P / E</t>
  </si>
  <si>
    <t>LTM</t>
  </si>
  <si>
    <t>FY+1</t>
  </si>
  <si>
    <t>FY+2</t>
  </si>
  <si>
    <t>TYO: 8035</t>
  </si>
  <si>
    <t>Target Company Valuation</t>
  </si>
  <si>
    <t>Maximum</t>
  </si>
  <si>
    <t>Minimum</t>
  </si>
  <si>
    <t>Enterprise</t>
  </si>
  <si>
    <t>3 STATEMENT FORECAST GRAPHS &amp; CHARTS</t>
  </si>
  <si>
    <t>DEPRECIATION</t>
  </si>
  <si>
    <t>TAXES</t>
  </si>
  <si>
    <t>DEBT &amp; INTEREST</t>
  </si>
  <si>
    <t>EQUITY</t>
  </si>
  <si>
    <t>OTHER SINGLE INPUTS</t>
  </si>
  <si>
    <t>RISH PREMIUM FOR EQUITY</t>
  </si>
  <si>
    <t>COST OF EQUITY</t>
  </si>
  <si>
    <t>CAPITAL STRUCTURE</t>
  </si>
  <si>
    <t>COST OF DEBT</t>
  </si>
  <si>
    <t>FINANCING ACTIVITIES</t>
  </si>
  <si>
    <t>NET CASH CHANGE</t>
  </si>
  <si>
    <t>TOTAL LIABILITIES &amp; EQUITY</t>
  </si>
  <si>
    <t>VOLUME</t>
  </si>
  <si>
    <t>PRICING</t>
  </si>
  <si>
    <t>REVENUE</t>
  </si>
  <si>
    <t>TOTAL COSTS</t>
  </si>
  <si>
    <t>AMOUNTS PER DAY</t>
  </si>
  <si>
    <t>AMOUNTS % OF REVENUE</t>
  </si>
  <si>
    <t>TOTAL AMOUNTS</t>
  </si>
  <si>
    <t>CASH CHANGES</t>
  </si>
  <si>
    <t>PP&amp;E INVESTMENT</t>
  </si>
  <si>
    <t>PURCHASES OF UINTANGIBLES</t>
  </si>
  <si>
    <t>ADJUSTMENT FOR DEPRECIATION</t>
  </si>
  <si>
    <t>TAX LOSES</t>
  </si>
  <si>
    <t>CASH</t>
  </si>
  <si>
    <t>LOAN RECEIVABLES</t>
  </si>
  <si>
    <t>EXISTING FINANCE RECEIVABLES</t>
  </si>
  <si>
    <t>NEW FINANCE RECEIVABLES</t>
  </si>
  <si>
    <t>CURRENT FINANCE RECEIVABLES</t>
  </si>
  <si>
    <t>NON CURRENT FINANCE RECEIVABLES</t>
  </si>
  <si>
    <t>LONG TERM DEBT</t>
  </si>
  <si>
    <t>AVAILABLE CASH</t>
  </si>
  <si>
    <t>REVOLVING CREDIT LINE</t>
  </si>
  <si>
    <t>COMMON EQUITY</t>
  </si>
  <si>
    <t>RETAINED EARNINGS</t>
  </si>
  <si>
    <t>EBITDA METHOD</t>
  </si>
  <si>
    <t>UNADJUSTED CASH FLOW</t>
  </si>
  <si>
    <t>ADJUSTED CASH FLOW</t>
  </si>
  <si>
    <t>DISCOUNTED CASH FLOW</t>
  </si>
  <si>
    <t>ENTERPRISE VALUE</t>
  </si>
  <si>
    <t>EQUITY VALUE</t>
  </si>
  <si>
    <t>EQUITY VALUE PER SHARE</t>
  </si>
  <si>
    <r>
      <t>OPERATING ACTIVITIES</t>
    </r>
    <r>
      <rPr>
        <b/>
        <vertAlign val="superscript"/>
        <sz val="12"/>
        <color theme="1"/>
        <rFont val="Calibri"/>
        <family val="2"/>
      </rPr>
      <t xml:space="preserve">  1</t>
    </r>
  </si>
  <si>
    <r>
      <t>INVESTING ACTIVITIES</t>
    </r>
    <r>
      <rPr>
        <b/>
        <vertAlign val="superscript"/>
        <sz val="12"/>
        <color theme="1"/>
        <rFont val="Calibri"/>
        <family val="2"/>
      </rPr>
      <t xml:space="preserve">  2</t>
    </r>
  </si>
  <si>
    <t>Other operating activities are assumed to be constant and include: investment in associates, other assets, accrued and other liabilities, current tax assets and liabilities, impairment, share-based compensation, and inventory reserves.</t>
  </si>
  <si>
    <t>Other investing activities are assumed to be constant and include: purchase of short-term investments, maturity of short-term investments, loans issued and other investments, and acquisition of subsidiaries (net of cash acquired).</t>
  </si>
  <si>
    <t>Profit from investments in associates</t>
  </si>
  <si>
    <t>Other current assets are assumed to be constant and include: derivative financial instruments, other assets, short term investments, and net current tax assets.</t>
  </si>
  <si>
    <t>Other non current assets are assumed to be constant and include: derivative financial instruments, other assets, investment in associates, and ROU Assets.</t>
  </si>
  <si>
    <t>Other current liabilties are assumed to be constant and include: derivative financial instruments, and accrued and other liabilities.</t>
  </si>
  <si>
    <t>Other non current liabilties are assumed to be constant and include: derivative financial instruments, and accrued and other liabilities.</t>
  </si>
  <si>
    <t>PP&amp;E INVESTMENT DEPRECIATION</t>
  </si>
  <si>
    <t xml:space="preserve">This schedule calculates depreciation on a straight-line basis. </t>
  </si>
  <si>
    <t xml:space="preserve">All PP&amp;E CapEx is assumed depreciable (i.e. no land balance). </t>
  </si>
  <si>
    <t>Amortisation values are hard coded to follow managerial guidance based on the 2024 IFRS rreport.</t>
  </si>
  <si>
    <r>
      <t xml:space="preserve">ASSETS  </t>
    </r>
    <r>
      <rPr>
        <b/>
        <vertAlign val="superscript"/>
        <sz val="12"/>
        <color theme="1"/>
        <rFont val="Calibri"/>
        <family val="2"/>
      </rPr>
      <t>1 2</t>
    </r>
  </si>
  <si>
    <r>
      <t xml:space="preserve">LIABILITIES  </t>
    </r>
    <r>
      <rPr>
        <b/>
        <vertAlign val="superscript"/>
        <sz val="12"/>
        <color theme="1"/>
        <rFont val="Calibri"/>
        <family val="2"/>
      </rPr>
      <t>3 4</t>
    </r>
  </si>
  <si>
    <r>
      <t xml:space="preserve">TOTAL ASSET DEPRECIATION  </t>
    </r>
    <r>
      <rPr>
        <b/>
        <vertAlign val="superscript"/>
        <sz val="12"/>
        <color theme="1"/>
        <rFont val="Calibri"/>
        <family val="2"/>
      </rPr>
      <t>3</t>
    </r>
  </si>
  <si>
    <t xml:space="preserve">Model assumes no dispositions that would impact the PP&amp;E or the Tax Basis. </t>
  </si>
  <si>
    <r>
      <t xml:space="preserve">PP&amp;E TAX BASIS </t>
    </r>
    <r>
      <rPr>
        <b/>
        <vertAlign val="superscript"/>
        <sz val="12"/>
        <color theme="1"/>
        <rFont val="Calibri"/>
        <family val="2"/>
      </rPr>
      <t>1</t>
    </r>
  </si>
  <si>
    <r>
      <t xml:space="preserve">INTANGIBLES TAX BASIS </t>
    </r>
    <r>
      <rPr>
        <b/>
        <vertAlign val="superscript"/>
        <sz val="12"/>
        <color theme="1"/>
        <rFont val="Calibri"/>
        <family val="2"/>
      </rPr>
      <t>1</t>
    </r>
  </si>
  <si>
    <t xml:space="preserve">This schedule assumes losses do not carry back to previous periods to reduce taxable income. </t>
  </si>
  <si>
    <t xml:space="preserve">'This schedule assumes that tax losses can be carried forward indefinitely into the future. </t>
  </si>
  <si>
    <r>
      <t xml:space="preserve">ADJUSTMENT FOR TAX LOSES </t>
    </r>
    <r>
      <rPr>
        <b/>
        <vertAlign val="superscript"/>
        <sz val="12"/>
        <color theme="1"/>
        <rFont val="Calibri"/>
        <family val="2"/>
      </rPr>
      <t>1 2</t>
    </r>
  </si>
  <si>
    <t>Tax Loses Assumptions</t>
  </si>
  <si>
    <t>Amortisation Tax Basis Assumptions</t>
  </si>
  <si>
    <t>Depreciation Tax Basis Assumptions</t>
  </si>
  <si>
    <r>
      <t xml:space="preserve">New Asset Depreciation Assumptions  </t>
    </r>
    <r>
      <rPr>
        <b/>
        <vertAlign val="superscript"/>
        <sz val="12"/>
        <color theme="1"/>
        <rFont val="Calibri"/>
        <family val="2"/>
      </rPr>
      <t>2</t>
    </r>
  </si>
  <si>
    <r>
      <t xml:space="preserve">Existing Asset Depreciation Assumptions  </t>
    </r>
    <r>
      <rPr>
        <b/>
        <vertAlign val="superscript"/>
        <sz val="12"/>
        <color theme="1"/>
        <rFont val="Calibri"/>
        <family val="2"/>
      </rPr>
      <t>1</t>
    </r>
  </si>
  <si>
    <t>Interest on Cash</t>
  </si>
  <si>
    <t>Interest on Finances Receivables</t>
  </si>
  <si>
    <t>Interest on Loan Receivables</t>
  </si>
  <si>
    <t>Interest Expense Assumptions</t>
  </si>
  <si>
    <t>Interest Earned Assumptions</t>
  </si>
  <si>
    <t>New Finance Receivables Assumptions</t>
  </si>
  <si>
    <t>Existing Finance Receivables Assumptions</t>
  </si>
  <si>
    <t>Income on Current Finance Receivables</t>
  </si>
  <si>
    <t>Income on Non Current Finance Receivables</t>
  </si>
  <si>
    <t>Expense on Debt</t>
  </si>
  <si>
    <t>DCF Assumptions</t>
  </si>
  <si>
    <t xml:space="preserve">Net PP&amp;E investment has been set equal to depreciation in the terminal year. </t>
  </si>
  <si>
    <r>
      <t xml:space="preserve">NET INCOME METHOD </t>
    </r>
    <r>
      <rPr>
        <b/>
        <vertAlign val="superscript"/>
        <sz val="12"/>
        <color theme="1"/>
        <rFont val="Calibri"/>
        <family val="2"/>
      </rPr>
      <t>1</t>
    </r>
  </si>
  <si>
    <t>PP&amp;E investment has been set equal to depreciation in the terminal year.</t>
  </si>
  <si>
    <t xml:space="preserve">The Enterprise Value from the XNPV Function is slightly different due to treatment of leap years. </t>
  </si>
  <si>
    <r>
      <t xml:space="preserve">ENTERPRISE VALUE </t>
    </r>
    <r>
      <rPr>
        <b/>
        <vertAlign val="superscript"/>
        <sz val="12"/>
        <color theme="1"/>
        <rFont val="Calibri"/>
        <family val="2"/>
      </rPr>
      <t>1</t>
    </r>
  </si>
  <si>
    <t>DCF, CCA</t>
  </si>
  <si>
    <t>Terminal Adjustment</t>
  </si>
  <si>
    <t xml:space="preserve">We have applied an LTM multiple to the EBITDA at the end of the terminal year to calculate the Terminal Value. </t>
  </si>
  <si>
    <t xml:space="preserve">The Enterprise Value from the XNPV Function is slightly different from the Manual Method due to treatment of leap years. </t>
  </si>
  <si>
    <r>
      <t xml:space="preserve">ADJUSTED CASH FLOW </t>
    </r>
    <r>
      <rPr>
        <b/>
        <vertAlign val="superscript"/>
        <sz val="12"/>
        <color theme="1"/>
        <rFont val="Calibri"/>
        <family val="2"/>
      </rPr>
      <t>1</t>
    </r>
  </si>
  <si>
    <r>
      <t xml:space="preserve">ENTERPRISE VALUE </t>
    </r>
    <r>
      <rPr>
        <b/>
        <vertAlign val="superscript"/>
        <sz val="12"/>
        <color theme="1"/>
        <rFont val="Calibri"/>
        <family val="2"/>
      </rPr>
      <t>2</t>
    </r>
  </si>
  <si>
    <t>Growth</t>
  </si>
  <si>
    <t>Margin</t>
  </si>
  <si>
    <t>Operating</t>
  </si>
  <si>
    <t>Investing</t>
  </si>
  <si>
    <t>Financing</t>
  </si>
  <si>
    <t>Change in Cash</t>
  </si>
  <si>
    <t>CASH FLOW STATEMENT</t>
  </si>
  <si>
    <t>DCF VALUATION: PERPETUITY METHOD</t>
  </si>
  <si>
    <t>MAIN OUTPUTS</t>
  </si>
  <si>
    <t>Per Share</t>
  </si>
  <si>
    <t>SELECTED INPUTS</t>
  </si>
  <si>
    <t>Net Debt</t>
  </si>
  <si>
    <t>Current Stock Price</t>
  </si>
  <si>
    <t>end of 2024</t>
  </si>
  <si>
    <t>000,000s</t>
  </si>
  <si>
    <t>EUR/Sh</t>
  </si>
  <si>
    <t xml:space="preserve">Share price is accurate as of valuation date. </t>
  </si>
  <si>
    <t xml:space="preserve">EUR/USD exchange rate at the valuation date was used. </t>
  </si>
  <si>
    <t>2019A–2030F</t>
  </si>
  <si>
    <t>ENTERPRICE VALUE</t>
  </si>
  <si>
    <t>PREMIUM (DISCOUNT) TO STOCK PRICE</t>
  </si>
  <si>
    <t>Model Drivers Set to</t>
  </si>
  <si>
    <t>Model Circularity</t>
  </si>
  <si>
    <t>On</t>
  </si>
  <si>
    <t>Off</t>
  </si>
  <si>
    <t>Circularity</t>
  </si>
  <si>
    <t>FINANCE RECEIVABLES SCHEDULE</t>
  </si>
  <si>
    <t>Interest Earned</t>
  </si>
  <si>
    <t>DCF VALUATION: MULTIPLES METHOD</t>
  </si>
  <si>
    <t>Terminal Multiple</t>
  </si>
  <si>
    <t>VALUATION SUMMARY</t>
  </si>
  <si>
    <t>Low</t>
  </si>
  <si>
    <t>Delta</t>
  </si>
  <si>
    <t>High</t>
  </si>
  <si>
    <t>Mid</t>
  </si>
  <si>
    <t>Comparable Trading Analysis</t>
  </si>
  <si>
    <t>DCF Valuation Analysis: Perpetuity Method</t>
  </si>
  <si>
    <t>DCF Valuation Analysis: Multiple Method</t>
  </si>
  <si>
    <t>Net</t>
  </si>
  <si>
    <t>Shares</t>
  </si>
  <si>
    <t>Outstanding</t>
  </si>
  <si>
    <t>52 Week Trading</t>
  </si>
  <si>
    <t>Concensus Research</t>
  </si>
  <si>
    <t>VALUATION SUMMARY: FOOTBALL FIELD CHART</t>
  </si>
  <si>
    <t>\</t>
  </si>
  <si>
    <t>First Fiscal Year End</t>
  </si>
  <si>
    <t xml:space="preserve">Tax Rate is a 5-Year Average. </t>
  </si>
  <si>
    <t xml:space="preserve">Levered beta is based on 5-year monthly data. </t>
  </si>
  <si>
    <t xml:space="preserve">Unlevered Beta = Levered Beta / (1 + (1 - Tax Rate) × Debt-to-Equity) </t>
  </si>
  <si>
    <t xml:space="preserve">Levered Beta = Unlevered Beta x (1 + (1 - Tax rate) x (Debt-to-Equity)) </t>
  </si>
  <si>
    <t>Debt /</t>
  </si>
  <si>
    <t>Capital</t>
  </si>
  <si>
    <t>Levered</t>
  </si>
  <si>
    <t>Unlevered</t>
  </si>
  <si>
    <r>
      <t>Tax Rate</t>
    </r>
    <r>
      <rPr>
        <b/>
        <vertAlign val="superscript"/>
        <sz val="12"/>
        <color theme="1"/>
        <rFont val="Calibri"/>
        <family val="2"/>
      </rPr>
      <t xml:space="preserve"> 1</t>
    </r>
  </si>
  <si>
    <r>
      <t>Beta</t>
    </r>
    <r>
      <rPr>
        <b/>
        <vertAlign val="superscript"/>
        <sz val="12"/>
        <color theme="1"/>
        <rFont val="Calibri"/>
        <family val="2"/>
      </rPr>
      <t xml:space="preserve"> 2</t>
    </r>
  </si>
  <si>
    <t>Market risk and country risk premiums are sourced from "Country Default Spreads and Risk Premiums" by Aswath Damodaran.</t>
  </si>
  <si>
    <r>
      <t xml:space="preserve"> Country Risk Premium</t>
    </r>
    <r>
      <rPr>
        <vertAlign val="superscript"/>
        <sz val="12"/>
        <color theme="1"/>
        <rFont val="Calibri"/>
        <family val="2"/>
      </rPr>
      <t xml:space="preserve"> 3</t>
    </r>
  </si>
  <si>
    <r>
      <t>Beta</t>
    </r>
    <r>
      <rPr>
        <b/>
        <vertAlign val="superscript"/>
        <sz val="12"/>
        <color theme="1"/>
        <rFont val="Calibri"/>
        <family val="2"/>
      </rPr>
      <t xml:space="preserve"> 4</t>
    </r>
  </si>
  <si>
    <t xml:space="preserve"> Equity Risk Premium</t>
  </si>
  <si>
    <r>
      <t xml:space="preserve"> Levered Beta</t>
    </r>
    <r>
      <rPr>
        <vertAlign val="superscript"/>
        <sz val="12"/>
        <color theme="1"/>
        <rFont val="Calibri"/>
        <family val="2"/>
      </rPr>
      <t xml:space="preserve"> 5</t>
    </r>
  </si>
  <si>
    <r>
      <t xml:space="preserve"> Market Risk Premium</t>
    </r>
    <r>
      <rPr>
        <vertAlign val="superscript"/>
        <sz val="12"/>
        <color theme="1"/>
        <rFont val="Calibri"/>
        <family val="2"/>
      </rPr>
      <t xml:space="preserve"> 3</t>
    </r>
  </si>
  <si>
    <r>
      <t xml:space="preserve"> ASML Price </t>
    </r>
    <r>
      <rPr>
        <vertAlign val="superscript"/>
        <sz val="12"/>
        <color theme="1"/>
        <rFont val="Calibri"/>
        <family val="2"/>
      </rPr>
      <t>2</t>
    </r>
  </si>
  <si>
    <r>
      <t xml:space="preserve"> EUR/USD Exchange Rate </t>
    </r>
    <r>
      <rPr>
        <vertAlign val="superscript"/>
        <sz val="12"/>
        <color theme="1"/>
        <rFont val="Calibri"/>
        <family val="2"/>
      </rPr>
      <t>1</t>
    </r>
  </si>
  <si>
    <t xml:space="preserve"> 52 Week Low</t>
  </si>
  <si>
    <r>
      <t xml:space="preserve"> 52 Week High</t>
    </r>
    <r>
      <rPr>
        <vertAlign val="superscript"/>
        <sz val="12"/>
        <color theme="1"/>
        <rFont val="Calibri"/>
        <family val="2"/>
      </rPr>
      <t xml:space="preserve"> </t>
    </r>
  </si>
  <si>
    <t xml:space="preserve"> Dilited EPS</t>
  </si>
  <si>
    <t>USD</t>
  </si>
  <si>
    <t>€/Sh</t>
  </si>
  <si>
    <t xml:space="preserve"> €/Sh </t>
  </si>
  <si>
    <t>Profit from Investments in Associates</t>
  </si>
  <si>
    <r>
      <t xml:space="preserve">Concensus Research Price High </t>
    </r>
    <r>
      <rPr>
        <vertAlign val="superscript"/>
        <sz val="12"/>
        <color theme="1"/>
        <rFont val="Calibri"/>
        <family val="2"/>
      </rPr>
      <t>3</t>
    </r>
  </si>
  <si>
    <r>
      <t xml:space="preserve">Concensus Research Price Low </t>
    </r>
    <r>
      <rPr>
        <vertAlign val="superscript"/>
        <sz val="12"/>
        <color theme="1"/>
        <rFont val="Calibri"/>
        <family val="2"/>
      </rPr>
      <t>3</t>
    </r>
  </si>
  <si>
    <t>Concensus Research is based on Yahoo Finance aggregation</t>
  </si>
  <si>
    <t>Trailling</t>
  </si>
  <si>
    <t>Forward</t>
  </si>
  <si>
    <t>Dilluted</t>
  </si>
  <si>
    <r>
      <t>EUR/USD Exchange Rate</t>
    </r>
    <r>
      <rPr>
        <vertAlign val="superscript"/>
        <sz val="12"/>
        <color theme="1"/>
        <rFont val="Aptos Narrow (Body)"/>
      </rPr>
      <t xml:space="preserve"> 1</t>
    </r>
  </si>
  <si>
    <r>
      <t>EUR/JPY Exchange Rate</t>
    </r>
    <r>
      <rPr>
        <vertAlign val="superscript"/>
        <sz val="12"/>
        <color theme="1"/>
        <rFont val="Aptos Narrow (Body)"/>
      </rPr>
      <t xml:space="preserve"> 1</t>
    </r>
  </si>
  <si>
    <t>All data is converted to EUR using spot FX as of Oct 2025.</t>
  </si>
  <si>
    <t>TYO is based on Tokyo primary shares (not ADR).</t>
  </si>
  <si>
    <t>MODEL DRIVERS</t>
  </si>
  <si>
    <t>OTHER INPUTS</t>
  </si>
  <si>
    <r>
      <t xml:space="preserve">  Net PP&amp;E Investment </t>
    </r>
    <r>
      <rPr>
        <b/>
        <vertAlign val="superscript"/>
        <sz val="12"/>
        <color theme="1"/>
        <rFont val="Calibri"/>
        <family val="2"/>
      </rPr>
      <t>2</t>
    </r>
  </si>
  <si>
    <r>
      <t>2025F</t>
    </r>
    <r>
      <rPr>
        <b/>
        <vertAlign val="superscript"/>
        <sz val="12"/>
        <color theme="1"/>
        <rFont val="Calibri"/>
        <family val="2"/>
      </rPr>
      <t xml:space="preserve"> 1</t>
    </r>
  </si>
  <si>
    <t>Statutory Interim Report 2025 has been incorporated into 2025F assumption values.</t>
  </si>
  <si>
    <t>Existing Finance Receivable Average Term</t>
  </si>
  <si>
    <t>Terms to Roll Over to Current Account</t>
  </si>
  <si>
    <t>Netherlands</t>
  </si>
  <si>
    <r>
      <t xml:space="preserve"> ASML</t>
    </r>
    <r>
      <rPr>
        <vertAlign val="superscript"/>
        <sz val="12"/>
        <color theme="5"/>
        <rFont val="Calibri"/>
        <family val="2"/>
      </rPr>
      <t xml:space="preserve"> 2</t>
    </r>
  </si>
  <si>
    <r>
      <t xml:space="preserve"> Tokyo Electron</t>
    </r>
    <r>
      <rPr>
        <vertAlign val="superscript"/>
        <sz val="12"/>
        <color rgb="FF4C93D9"/>
        <rFont val="Calibri"/>
        <family val="2"/>
      </rPr>
      <t xml:space="preserve"> 3</t>
    </r>
  </si>
  <si>
    <t>ASML market data reflects current market valuations and is provided for comparison purposes only. It is not part of the model’s comparible valuation calculations.</t>
  </si>
  <si>
    <t>Midpoint</t>
  </si>
  <si>
    <t>Target Price</t>
  </si>
  <si>
    <t>Current Price</t>
  </si>
  <si>
    <t>Strong Buy</t>
  </si>
  <si>
    <t>Buy</t>
  </si>
  <si>
    <t>Hold</t>
  </si>
  <si>
    <t>Sell</t>
  </si>
  <si>
    <t>Strong Sell</t>
  </si>
  <si>
    <t>Rating</t>
  </si>
  <si>
    <t>Valuation Weight</t>
  </si>
  <si>
    <t>DCF Valuation: Multiple Method</t>
  </si>
  <si>
    <t>DCF Valuation: Perpetuity Method</t>
  </si>
  <si>
    <t xml:space="preserve">Comparable Trading Analysis  </t>
  </si>
  <si>
    <t>Intrinsic Valuation Method</t>
  </si>
  <si>
    <t>Market Based Valuation Method</t>
  </si>
  <si>
    <t>Best</t>
  </si>
  <si>
    <t>Case</t>
  </si>
  <si>
    <t>Relative</t>
  </si>
  <si>
    <t>Base</t>
  </si>
  <si>
    <t>Worst</t>
  </si>
  <si>
    <t>VALUATION DATA</t>
  </si>
  <si>
    <t>Min/Max</t>
  </si>
  <si>
    <t>Weighted</t>
  </si>
  <si>
    <t>Upside (Downside)</t>
  </si>
  <si>
    <t>Band</t>
  </si>
  <si>
    <t>Upside/(Downside)</t>
  </si>
  <si>
    <t>% vs current</t>
  </si>
  <si>
    <t>Recommendation</t>
  </si>
  <si>
    <t>&gt; +25%</t>
  </si>
  <si>
    <t>+10% to +25%</t>
  </si>
  <si>
    <t>&lt; -25%</t>
  </si>
  <si>
    <t>-10% to +10%</t>
  </si>
  <si>
    <t>-25% to -10%</t>
  </si>
  <si>
    <t>RATING</t>
  </si>
  <si>
    <t>VALUATION WEIGHING</t>
  </si>
  <si>
    <t>€</t>
  </si>
  <si>
    <t>EXECUTIVE SUMMARY</t>
  </si>
  <si>
    <t>Price Target</t>
  </si>
  <si>
    <t>52-Week Range</t>
  </si>
  <si>
    <t>Market Cap  (mm)</t>
  </si>
  <si>
    <t>494.5 - 889.1</t>
  </si>
  <si>
    <t>ASML HOLDING NV</t>
  </si>
  <si>
    <t xml:space="preserve"> Semiconductors – Capital Equipment  / Netherlands</t>
  </si>
  <si>
    <t>Euronext Amsterdam: ASML</t>
  </si>
  <si>
    <t>Nasdaq: ASML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</si>
</sst>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43" formatCode="_(* #,##0.00_);_(* \(#,##0.00\);_(* &quot;-&quot;??_);_(@_)"/>
    <numFmt numFmtId="164" formatCode="#,##0.0_);\(#,##0.0\)"/>
    <numFmt numFmtId="165" formatCode="#,##0.000_);\(#,##0.000\)"/>
    <numFmt numFmtId="166" formatCode="_(#,##0_)_%;\(#,##0\)_%;_(&quot;–&quot;_)_%;_(@_)_%"/>
    <numFmt numFmtId="167" formatCode="_([$CZK]\ * #,##0.00_);_([$CZK]\ * \(#,##0.00\);_([$CZK]\ * &quot;-&quot;??_);_(@_)"/>
    <numFmt numFmtId="168" formatCode="_([$AED]\ * #,##0.00_);_([$AED]\ * \(#,##0.00\);_([$AED]\ * &quot;-&quot;??_);_(@_)"/>
    <numFmt numFmtId="169" formatCode="_(#,##0_);\(#,##0\);_(&quot;–&quot;_);_(@_)"/>
    <numFmt numFmtId="170" formatCode="0.0%"/>
    <numFmt numFmtId="171" formatCode="_-* #,##0.00_-;\-* #,##0.00_-;_-* &quot;-&quot;??_-;_-@_-"/>
    <numFmt numFmtId="172" formatCode="_(#,##0%_);\(#,##0%\);_(&quot;–&quot;_)_%;_(@_)_%"/>
    <numFmt numFmtId="173" formatCode="_(#,##0.00_);\(#,##0.00\);_(&quot;–&quot;_);_(@_)"/>
    <numFmt numFmtId="174" formatCode="[=1]&quot;Yes&quot;_);[=0]&quot;No&quot;_)"/>
    <numFmt numFmtId="175" formatCode="* #,##0.0;* \(#,##0.0\);* &quot;—&quot;;_(@_)"/>
    <numFmt numFmtId="176" formatCode="* #,##0.0;* \(#,##0.0\);* &quot;-&quot;;_(@_)"/>
    <numFmt numFmtId="177" formatCode="_(* #,##0.0_);_(* \(#,##0.0\);_(* &quot;-&quot;??_);_(@_)"/>
    <numFmt numFmtId="178" formatCode="_([$€-2]\ * #,##0.00_);_([$€-2]\ * \(#,##0.00\);_([$€-2]\ * &quot;-&quot;??_);_(@_)"/>
    <numFmt numFmtId="179" formatCode="_(#,##0.0_);\(#,##0.0\);_(&quot;–&quot;_);_(@_)"/>
    <numFmt numFmtId="180" formatCode="[=1]&quot;No&quot;_);[=0]&quot;Yes&quot;_)"/>
    <numFmt numFmtId="181" formatCode="_(0.0\x_);\(0.0\x\);_(&quot;–&quot;_);_(@_)"/>
    <numFmt numFmtId="182" formatCode="_(0\x_);\(0\x\);_(&quot;–&quot;_);_(@_)"/>
    <numFmt numFmtId="183" formatCode="@\⁽\¹\⁾"/>
    <numFmt numFmtId="184" formatCode="@\⁽\²\⁾"/>
    <numFmt numFmtId="185" formatCode="@\⁽\³\⁾"/>
    <numFmt numFmtId="186" formatCode="@\⁽\⁴\⁾"/>
    <numFmt numFmtId="187" formatCode="#,##0_);\(#,##0\);\-"/>
    <numFmt numFmtId="188" formatCode="_(#,##0.000_);\(#,##0.000\);_(&quot;–&quot;_);_(@_)"/>
    <numFmt numFmtId="189" formatCode="_(#,##0.0%_);\(#,##0.0%\);_(&quot;–&quot;_)_%;_(@_)_%"/>
    <numFmt numFmtId="190" formatCode="[=1]&quot;On&quot;_);[=2]&quot;Off&quot;_)"/>
    <numFmt numFmtId="191" formatCode="#,##0.00_);\(#,##0.00\);\-"/>
    <numFmt numFmtId="192" formatCode="#,##0.0_);\(#,##0.0\);\-"/>
    <numFmt numFmtId="193" formatCode="#,##0.000000000000_);\(#,##0.000000000000\)"/>
  </numFmts>
  <fonts count="81">
    <font>
      <sz val="12"/>
      <color theme="1"/>
      <name val="Aptos Narrow"/>
      <family val="2"/>
      <scheme val="minor"/>
    </font>
    <font>
      <sz val="12"/>
      <color theme="1"/>
      <name val="Aptos Narrow"/>
      <family val="2"/>
      <scheme val="minor"/>
    </font>
    <font>
      <sz val="12"/>
      <color theme="1"/>
      <name val="Calibri"/>
      <family val="2"/>
    </font>
    <font>
      <b/>
      <sz val="10"/>
      <name val="Calibri"/>
      <family val="2"/>
    </font>
    <font>
      <b/>
      <sz val="12"/>
      <color theme="1"/>
      <name val="Calibri"/>
      <family val="2"/>
    </font>
    <font>
      <u/>
      <sz val="12"/>
      <color theme="10"/>
      <name val="Aptos Narrow"/>
      <family val="2"/>
      <scheme val="minor"/>
    </font>
    <font>
      <sz val="12"/>
      <color rgb="FF000000"/>
      <name val="Calibri"/>
      <family val="2"/>
    </font>
    <font>
      <b/>
      <sz val="12"/>
      <name val="Calibri"/>
      <family val="2"/>
    </font>
    <font>
      <sz val="16"/>
      <color theme="1"/>
      <name val="Calibri"/>
      <family val="2"/>
    </font>
    <font>
      <sz val="12"/>
      <color rgb="FF1C7DDB"/>
      <name val="Calibri"/>
      <family val="2"/>
    </font>
    <font>
      <sz val="12"/>
      <name val="Calibri"/>
      <family val="2"/>
    </font>
    <font>
      <b/>
      <u/>
      <sz val="12"/>
      <color theme="1"/>
      <name val="Calibri"/>
      <family val="2"/>
    </font>
    <font>
      <i/>
      <sz val="10"/>
      <color theme="1"/>
      <name val="Calibri"/>
      <family val="2"/>
    </font>
    <font>
      <sz val="11"/>
      <color theme="1"/>
      <name val="Aptos Narrow"/>
      <family val="2"/>
      <scheme val="minor"/>
    </font>
    <font>
      <b/>
      <sz val="20"/>
      <color rgb="FF14213D"/>
      <name val="Calibri"/>
      <family val="2"/>
    </font>
    <font>
      <b/>
      <sz val="18"/>
      <color rgb="FF14213D"/>
      <name val="Calibri"/>
      <family val="2"/>
    </font>
    <font>
      <sz val="12"/>
      <color rgb="FF14213D"/>
      <name val="Calibri"/>
      <family val="2"/>
    </font>
    <font>
      <u/>
      <sz val="12"/>
      <color theme="10"/>
      <name val="Calibri"/>
      <family val="2"/>
    </font>
    <font>
      <b/>
      <sz val="14"/>
      <color rgb="FF14213D"/>
      <name val="Calibri"/>
      <family val="2"/>
    </font>
    <font>
      <b/>
      <sz val="12"/>
      <color rgb="FF14213D"/>
      <name val="Calibri"/>
      <family val="2"/>
    </font>
    <font>
      <i/>
      <sz val="9"/>
      <color rgb="FF14213D"/>
      <name val="Calibri"/>
      <family val="2"/>
    </font>
    <font>
      <i/>
      <u/>
      <sz val="9"/>
      <color rgb="FF14213D"/>
      <name val="Calibri"/>
      <family val="2"/>
    </font>
    <font>
      <i/>
      <sz val="7"/>
      <color theme="1"/>
      <name val="Calibri"/>
      <family val="2"/>
    </font>
    <font>
      <i/>
      <sz val="7"/>
      <color rgb="FF14213D"/>
      <name val="Calibri"/>
      <family val="2"/>
    </font>
    <font>
      <i/>
      <sz val="9"/>
      <name val="Calibri"/>
      <family val="2"/>
    </font>
    <font>
      <sz val="12"/>
      <color rgb="FF0F238C"/>
      <name val="Calibri"/>
      <family val="2"/>
    </font>
    <font>
      <sz val="12"/>
      <color theme="3" tint="0.499984740745262"/>
      <name val="Calibri"/>
      <family val="2"/>
    </font>
    <font>
      <b/>
      <sz val="12"/>
      <color rgb="FF000000"/>
      <name val="Calibri"/>
      <family val="2"/>
    </font>
    <font>
      <b/>
      <i/>
      <sz val="10"/>
      <color theme="1"/>
      <name val="Calibri"/>
      <family val="2"/>
    </font>
    <font>
      <i/>
      <sz val="12"/>
      <color theme="3" tint="0.499984740745262"/>
      <name val="Calibri"/>
      <family val="2"/>
    </font>
    <font>
      <i/>
      <sz val="12"/>
      <color theme="1"/>
      <name val="Calibri"/>
      <family val="2"/>
    </font>
    <font>
      <i/>
      <sz val="9"/>
      <color theme="1"/>
      <name val="Calibri"/>
      <family val="2"/>
    </font>
    <font>
      <b/>
      <sz val="18"/>
      <color theme="0"/>
      <name val="Calibri"/>
      <family val="2"/>
    </font>
    <font>
      <b/>
      <sz val="10"/>
      <color theme="0"/>
      <name val="Calibri"/>
      <family val="2"/>
    </font>
    <font>
      <sz val="12"/>
      <color theme="0"/>
      <name val="Calibri"/>
      <family val="2"/>
    </font>
    <font>
      <sz val="18"/>
      <color theme="0"/>
      <name val="Calibri"/>
      <family val="2"/>
    </font>
    <font>
      <i/>
      <sz val="10"/>
      <color rgb="FF000000"/>
      <name val="Calibri"/>
      <family val="2"/>
    </font>
    <font>
      <sz val="12"/>
      <color rgb="FF749AC7"/>
      <name val="Calibri"/>
      <family val="2"/>
    </font>
    <font>
      <sz val="10"/>
      <color rgb="FF000000"/>
      <name val="Open Sans"/>
      <family val="2"/>
    </font>
    <font>
      <b/>
      <sz val="8"/>
      <color rgb="FF000000"/>
      <name val="Arial"/>
      <family val="2"/>
    </font>
    <font>
      <sz val="8"/>
      <color rgb="FF000000"/>
      <name val="Arial"/>
      <family val="2"/>
    </font>
    <font>
      <b/>
      <sz val="8"/>
      <color rgb="FF1C7DDB"/>
      <name val="HelveticaNeueLT W1G 55 Roman"/>
    </font>
    <font>
      <sz val="12"/>
      <color rgb="FF4C93D9"/>
      <name val="Calibri"/>
      <family val="2"/>
    </font>
    <font>
      <sz val="10"/>
      <color theme="1"/>
      <name val="Calibri"/>
      <family val="2"/>
    </font>
    <font>
      <b/>
      <sz val="12"/>
      <color theme="1"/>
      <name val="Aptos Narrow"/>
      <scheme val="minor"/>
    </font>
    <font>
      <sz val="12"/>
      <color rgb="FF4C93D9"/>
      <name val="Aptos Narrow"/>
      <family val="2"/>
      <scheme val="minor"/>
    </font>
    <font>
      <sz val="10"/>
      <name val="Arial"/>
      <family val="2"/>
    </font>
    <font>
      <b/>
      <sz val="10"/>
      <color rgb="FF000000"/>
      <name val="Open Sans"/>
      <family val="2"/>
    </font>
    <font>
      <b/>
      <sz val="11"/>
      <color theme="1"/>
      <name val="Calibri"/>
      <family val="2"/>
    </font>
    <font>
      <i/>
      <sz val="10"/>
      <color theme="1"/>
      <name val="Aptos Narrow"/>
      <family val="2"/>
      <scheme val="minor"/>
    </font>
    <font>
      <i/>
      <sz val="10"/>
      <color rgb="FF000000"/>
      <name val="Open Sans"/>
      <family val="2"/>
    </font>
    <font>
      <sz val="11"/>
      <color theme="1"/>
      <name val="Calibri"/>
      <family val="2"/>
    </font>
    <font>
      <b/>
      <sz val="8"/>
      <color theme="1"/>
      <name val="Arial"/>
      <family val="2"/>
    </font>
    <font>
      <sz val="9"/>
      <name val="Open Sans"/>
      <family val="2"/>
    </font>
    <font>
      <b/>
      <vertAlign val="superscript"/>
      <sz val="12"/>
      <color theme="1"/>
      <name val="Calibri"/>
      <family val="2"/>
    </font>
    <font>
      <sz val="9"/>
      <name val="Calibri Light"/>
      <family val="2"/>
    </font>
    <font>
      <sz val="9"/>
      <name val="Open Sans"/>
      <family val="2"/>
      <charset val="1"/>
    </font>
    <font>
      <sz val="9"/>
      <color rgb="FF000000"/>
      <name val="Open Sans"/>
      <family val="2"/>
    </font>
    <font>
      <vertAlign val="superscript"/>
      <sz val="12"/>
      <color theme="1"/>
      <name val="Calibri"/>
      <family val="2"/>
    </font>
    <font>
      <sz val="10"/>
      <color theme="1"/>
      <name val="Open Sans"/>
      <family val="2"/>
    </font>
    <font>
      <sz val="10"/>
      <color rgb="FF000000"/>
      <name val="Calibri"/>
      <family val="2"/>
    </font>
    <font>
      <sz val="11"/>
      <color theme="0"/>
      <name val="Calibri"/>
      <family val="2"/>
    </font>
    <font>
      <sz val="9"/>
      <color theme="0"/>
      <name val="Calibri"/>
      <family val="2"/>
    </font>
    <font>
      <b/>
      <sz val="10"/>
      <color rgb="FF000000"/>
      <name val="Calibri"/>
      <family val="2"/>
    </font>
    <font>
      <u/>
      <sz val="10"/>
      <color theme="10"/>
      <name val="Arial"/>
      <family val="2"/>
    </font>
    <font>
      <b/>
      <sz val="11"/>
      <color rgb="FF947131"/>
      <name val="Calibri"/>
      <family val="2"/>
    </font>
    <font>
      <u/>
      <sz val="11"/>
      <color rgb="FF947131"/>
      <name val="Calibri"/>
      <family val="2"/>
    </font>
    <font>
      <sz val="11"/>
      <color rgb="FF947131"/>
      <name val="Calibri"/>
      <family val="2"/>
    </font>
    <font>
      <sz val="10"/>
      <color theme="0"/>
      <name val="Calibri"/>
      <family val="2"/>
    </font>
    <font>
      <sz val="12"/>
      <color rgb="FFE3E3E3"/>
      <name val="Arial"/>
      <family val="2"/>
    </font>
    <font>
      <sz val="9"/>
      <color rgb="FF000000"/>
      <name val="Calibri"/>
      <family val="2"/>
    </font>
    <font>
      <sz val="12"/>
      <color theme="1"/>
      <name val="Aptos Narrow"/>
      <scheme val="minor"/>
    </font>
    <font>
      <sz val="14"/>
      <color rgb="FFE3E3E3"/>
      <name val="Arial"/>
      <family val="2"/>
    </font>
    <font>
      <vertAlign val="superscript"/>
      <sz val="12"/>
      <color theme="1"/>
      <name val="Aptos Narrow (Body)"/>
    </font>
    <font>
      <vertAlign val="superscript"/>
      <sz val="12"/>
      <color rgb="FF4C93D9"/>
      <name val="Calibri"/>
      <family val="2"/>
    </font>
    <font>
      <b/>
      <sz val="12"/>
      <color theme="0"/>
      <name val="Calibri"/>
      <family val="2"/>
    </font>
    <font>
      <sz val="12"/>
      <color theme="5"/>
      <name val="Calibri"/>
      <family val="2"/>
    </font>
    <font>
      <sz val="12"/>
      <color theme="5"/>
      <name val="Aptos Narrow"/>
      <family val="2"/>
      <scheme val="minor"/>
    </font>
    <font>
      <sz val="12"/>
      <color rgb="FFD86B42"/>
      <name val="Calibri"/>
      <family val="2"/>
    </font>
    <font>
      <vertAlign val="superscript"/>
      <sz val="12"/>
      <color theme="5"/>
      <name val="Calibri"/>
      <family val="2"/>
    </font>
    <font>
      <b/>
      <sz val="12"/>
      <color rgb="FF4C93D9"/>
      <name val="Calibri"/>
      <family val="2"/>
    </font>
  </fonts>
  <fills count="11">
    <fill>
      <patternFill patternType="none"/>
    </fill>
    <fill>
      <patternFill patternType="gray125"/>
    </fill>
    <fill>
      <patternFill patternType="solid">
        <fgColor rgb="FF0F238C"/>
        <bgColor indexed="64"/>
      </patternFill>
    </fill>
    <fill>
      <patternFill patternType="solid">
        <fgColor theme="0"/>
        <bgColor indexed="64"/>
      </patternFill>
    </fill>
    <fill>
      <patternFill patternType="solid">
        <fgColor theme="0" tint="-4.9989318521683403E-2"/>
        <bgColor indexed="64"/>
      </patternFill>
    </fill>
    <fill>
      <patternFill patternType="solid">
        <fgColor rgb="FF0F238C"/>
        <bgColor rgb="FF000000"/>
      </patternFill>
    </fill>
    <fill>
      <patternFill patternType="solid">
        <fgColor rgb="FFC0392B"/>
        <bgColor indexed="64"/>
      </patternFill>
    </fill>
    <fill>
      <patternFill patternType="solid">
        <fgColor rgb="FFE67E22"/>
        <bgColor indexed="64"/>
      </patternFill>
    </fill>
    <fill>
      <patternFill patternType="solid">
        <fgColor rgb="FFBDC3C7"/>
        <bgColor indexed="64"/>
      </patternFill>
    </fill>
    <fill>
      <patternFill patternType="solid">
        <fgColor rgb="FF27AE60"/>
        <bgColor indexed="64"/>
      </patternFill>
    </fill>
    <fill>
      <patternFill patternType="solid">
        <fgColor rgb="FF117A65"/>
        <bgColor indexed="64"/>
      </patternFill>
    </fill>
  </fills>
  <borders count="63">
    <border>
      <left/>
      <right/>
      <top/>
      <bottom/>
      <diagonal/>
    </border>
    <border>
      <left/>
      <right/>
      <top/>
      <bottom style="thin">
        <color rgb="FF000000"/>
      </bottom>
      <diagonal/>
    </border>
    <border>
      <left/>
      <right/>
      <top/>
      <bottom style="thin">
        <color rgb="FF0F238C"/>
      </bottom>
      <diagonal/>
    </border>
    <border>
      <left style="thin">
        <color rgb="FF0F238C"/>
      </left>
      <right/>
      <top style="thin">
        <color rgb="FF0F238C"/>
      </top>
      <bottom/>
      <diagonal/>
    </border>
    <border>
      <left/>
      <right/>
      <top style="thin">
        <color rgb="FF0F238C"/>
      </top>
      <bottom/>
      <diagonal/>
    </border>
    <border>
      <left/>
      <right style="thin">
        <color rgb="FF0F238C"/>
      </right>
      <top style="thin">
        <color rgb="FF0F238C"/>
      </top>
      <bottom/>
      <diagonal/>
    </border>
    <border>
      <left style="thin">
        <color rgb="FF0F238C"/>
      </left>
      <right/>
      <top/>
      <bottom/>
      <diagonal/>
    </border>
    <border>
      <left/>
      <right style="thin">
        <color rgb="FF0F238C"/>
      </right>
      <top/>
      <bottom/>
      <diagonal/>
    </border>
    <border>
      <left style="thin">
        <color rgb="FF0F238C"/>
      </left>
      <right/>
      <top/>
      <bottom style="thin">
        <color rgb="FF0F238C"/>
      </bottom>
      <diagonal/>
    </border>
    <border>
      <left/>
      <right style="thin">
        <color rgb="FF0F238C"/>
      </right>
      <top/>
      <bottom style="thin">
        <color rgb="FF0F238C"/>
      </bottom>
      <diagonal/>
    </border>
    <border>
      <left/>
      <right/>
      <top/>
      <bottom style="thin">
        <color theme="0" tint="-0.34998626667073579"/>
      </bottom>
      <diagonal/>
    </border>
    <border>
      <left/>
      <right/>
      <top/>
      <bottom style="thin">
        <color theme="1"/>
      </bottom>
      <diagonal/>
    </border>
    <border>
      <left/>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rgb="FFBFBFBF"/>
      </bottom>
      <diagonal/>
    </border>
    <border>
      <left style="thin">
        <color theme="1"/>
      </left>
      <right/>
      <top/>
      <bottom style="thin">
        <color theme="1"/>
      </bottom>
      <diagonal/>
    </border>
    <border>
      <left style="thin">
        <color theme="1"/>
      </left>
      <right/>
      <top/>
      <bottom/>
      <diagonal/>
    </border>
    <border>
      <left/>
      <right style="thin">
        <color theme="0" tint="-0.249977111117893"/>
      </right>
      <top/>
      <bottom style="thin">
        <color theme="1"/>
      </bottom>
      <diagonal/>
    </border>
    <border>
      <left/>
      <right/>
      <top style="thin">
        <color theme="1"/>
      </top>
      <bottom/>
      <diagonal/>
    </border>
    <border>
      <left style="thin">
        <color theme="0" tint="-0.249977111117893"/>
      </left>
      <right/>
      <top/>
      <bottom style="thin">
        <color theme="1"/>
      </bottom>
      <diagonal/>
    </border>
    <border>
      <left/>
      <right style="thin">
        <color theme="1"/>
      </right>
      <top/>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style="thin">
        <color theme="0" tint="-0.249977111117893"/>
      </right>
      <top style="thin">
        <color theme="1"/>
      </top>
      <bottom/>
      <diagonal/>
    </border>
    <border>
      <left style="thin">
        <color theme="0" tint="-0.249977111117893"/>
      </left>
      <right/>
      <top style="thin">
        <color theme="1"/>
      </top>
      <bottom/>
      <diagonal/>
    </border>
    <border>
      <left/>
      <right style="thin">
        <color theme="1"/>
      </right>
      <top style="thin">
        <color theme="1"/>
      </top>
      <bottom/>
      <diagonal/>
    </border>
    <border>
      <left style="thin">
        <color theme="1"/>
      </left>
      <right/>
      <top style="thin">
        <color theme="1"/>
      </top>
      <bottom style="thin">
        <color theme="0" tint="-0.249977111117893"/>
      </bottom>
      <diagonal/>
    </border>
    <border>
      <left style="thin">
        <color theme="0" tint="-0.249977111117893"/>
      </left>
      <right/>
      <top style="thin">
        <color theme="1"/>
      </top>
      <bottom style="thin">
        <color theme="0" tint="-0.249977111117893"/>
      </bottom>
      <diagonal/>
    </border>
    <border>
      <left/>
      <right/>
      <top style="thin">
        <color theme="1"/>
      </top>
      <bottom style="thin">
        <color theme="0" tint="-0.249977111117893"/>
      </bottom>
      <diagonal/>
    </border>
    <border>
      <left/>
      <right style="thin">
        <color theme="0" tint="-0.249977111117893"/>
      </right>
      <top style="thin">
        <color theme="1"/>
      </top>
      <bottom style="thin">
        <color theme="0" tint="-0.249977111117893"/>
      </bottom>
      <diagonal/>
    </border>
    <border>
      <left/>
      <right style="thin">
        <color theme="1"/>
      </right>
      <top style="thin">
        <color theme="1"/>
      </top>
      <bottom style="thin">
        <color theme="0" tint="-0.249977111117893"/>
      </bottom>
      <diagonal/>
    </border>
    <border>
      <left style="thin">
        <color theme="0" tint="-0.249977111117893"/>
      </left>
      <right style="thin">
        <color theme="1"/>
      </right>
      <top/>
      <bottom style="thin">
        <color theme="1"/>
      </bottom>
      <diagonal/>
    </border>
    <border>
      <left style="hair">
        <color rgb="FF000000"/>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right style="hair">
        <color rgb="FF000000"/>
      </right>
      <top/>
      <bottom/>
      <diagonal/>
    </border>
    <border>
      <left style="thin">
        <color rgb="FF000000"/>
      </left>
      <right style="thin">
        <color rgb="FF000000"/>
      </right>
      <top style="thin">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right/>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8">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13" fillId="0" borderId="0"/>
    <xf numFmtId="9" fontId="1" fillId="0" borderId="0" applyFont="0" applyFill="0" applyBorder="0" applyAlignment="0" applyProtection="0"/>
    <xf numFmtId="171" fontId="13" fillId="0" borderId="0" applyFont="0" applyFill="0" applyBorder="0" applyAlignment="0" applyProtection="0"/>
    <xf numFmtId="0" fontId="46" fillId="0" borderId="0"/>
    <xf numFmtId="0" fontId="64" fillId="0" borderId="0" applyNumberFormat="0" applyFill="0" applyBorder="0" applyAlignment="0" applyProtection="0"/>
  </cellStyleXfs>
  <cellXfs count="65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horizontal="centerContinuous"/>
    </xf>
    <xf numFmtId="165" fontId="2" fillId="0" borderId="0" xfId="0" applyNumberFormat="1" applyFont="1" applyAlignment="1">
      <alignment horizontal="right"/>
    </xf>
    <xf numFmtId="165" fontId="10" fillId="0" borderId="0" xfId="0" quotePrefix="1" applyNumberFormat="1" applyFont="1" applyAlignment="1">
      <alignment horizontal="right"/>
    </xf>
    <xf numFmtId="164" fontId="2" fillId="0" borderId="0" xfId="0" applyNumberFormat="1" applyFont="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0" fontId="2" fillId="0" borderId="0" xfId="0" applyFont="1" applyAlignment="1">
      <alignment horizontal="right"/>
    </xf>
    <xf numFmtId="0" fontId="11" fillId="0" borderId="0" xfId="0" applyFont="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0" xfId="0" applyFont="1" applyFill="1"/>
    <xf numFmtId="0" fontId="2" fillId="2" borderId="7" xfId="0" applyFont="1" applyFill="1" applyBorder="1"/>
    <xf numFmtId="0" fontId="2" fillId="2" borderId="8" xfId="0" applyFont="1" applyFill="1" applyBorder="1"/>
    <xf numFmtId="0" fontId="2" fillId="2" borderId="2" xfId="0" applyFont="1" applyFill="1" applyBorder="1"/>
    <xf numFmtId="0" fontId="2" fillId="2" borderId="9" xfId="0" applyFont="1" applyFill="1" applyBorder="1"/>
    <xf numFmtId="0" fontId="14" fillId="0" borderId="6" xfId="3" applyFont="1" applyBorder="1" applyProtection="1">
      <protection locked="0"/>
    </xf>
    <xf numFmtId="0" fontId="2" fillId="0" borderId="7" xfId="0" applyFont="1" applyBorder="1"/>
    <xf numFmtId="0" fontId="2" fillId="0" borderId="6" xfId="0" applyFont="1" applyBorder="1"/>
    <xf numFmtId="0" fontId="15" fillId="3" borderId="0" xfId="3" applyFont="1" applyFill="1" applyAlignment="1" applyProtection="1">
      <alignment horizontal="left" vertical="center"/>
      <protection locked="0"/>
    </xf>
    <xf numFmtId="0" fontId="2" fillId="3" borderId="0" xfId="0" applyFont="1" applyFill="1"/>
    <xf numFmtId="166" fontId="16" fillId="0" borderId="0" xfId="0" applyNumberFormat="1" applyFont="1" applyAlignment="1">
      <alignment horizontal="left" vertical="center"/>
    </xf>
    <xf numFmtId="166" fontId="17" fillId="0" borderId="0" xfId="2" applyNumberFormat="1" applyFont="1" applyBorder="1" applyAlignment="1">
      <alignment horizontal="left" vertical="center"/>
    </xf>
    <xf numFmtId="0" fontId="18" fillId="0" borderId="1" xfId="0" applyFont="1" applyBorder="1" applyAlignment="1" applyProtection="1">
      <alignment horizontal="left"/>
      <protection locked="0"/>
    </xf>
    <xf numFmtId="0" fontId="16" fillId="0" borderId="0" xfId="0" applyFont="1"/>
    <xf numFmtId="0" fontId="17" fillId="0" borderId="0" xfId="2" applyFont="1" applyBorder="1"/>
    <xf numFmtId="166" fontId="19" fillId="0" borderId="0" xfId="0" applyNumberFormat="1" applyFont="1" applyAlignment="1">
      <alignment horizontal="left" vertical="center"/>
    </xf>
    <xf numFmtId="167" fontId="2" fillId="0" borderId="0" xfId="0" applyNumberFormat="1" applyFont="1" applyAlignment="1">
      <alignment horizontal="right"/>
    </xf>
    <xf numFmtId="168" fontId="2" fillId="0" borderId="0" xfId="0" applyNumberFormat="1" applyFont="1" applyAlignment="1">
      <alignment horizontal="right"/>
    </xf>
    <xf numFmtId="0" fontId="18" fillId="0" borderId="0" xfId="0" applyFont="1" applyAlignment="1" applyProtection="1">
      <alignment horizontal="left"/>
      <protection locked="0"/>
    </xf>
    <xf numFmtId="166" fontId="16" fillId="0" borderId="0" xfId="0" applyNumberFormat="1" applyFont="1" applyAlignment="1">
      <alignment horizontal="right" vertical="center"/>
    </xf>
    <xf numFmtId="0" fontId="20" fillId="0" borderId="0" xfId="0" applyFont="1"/>
    <xf numFmtId="0" fontId="21" fillId="0" borderId="0" xfId="2" applyFont="1" applyBorder="1" applyAlignment="1">
      <alignment horizontal="right"/>
    </xf>
    <xf numFmtId="0" fontId="2" fillId="0" borderId="8" xfId="0" applyFont="1" applyBorder="1"/>
    <xf numFmtId="0" fontId="2" fillId="0" borderId="2" xfId="0" applyFont="1" applyBorder="1"/>
    <xf numFmtId="0" fontId="2" fillId="0" borderId="9" xfId="0" applyFont="1" applyBorder="1"/>
    <xf numFmtId="0" fontId="22" fillId="0" borderId="0" xfId="0" applyFont="1"/>
    <xf numFmtId="0" fontId="23" fillId="0" borderId="0" xfId="0" applyFont="1"/>
    <xf numFmtId="165" fontId="4" fillId="0" borderId="11" xfId="0" applyNumberFormat="1" applyFont="1" applyBorder="1" applyAlignment="1">
      <alignment horizontal="right"/>
    </xf>
    <xf numFmtId="165" fontId="4" fillId="0" borderId="11" xfId="0" quotePrefix="1" applyNumberFormat="1" applyFont="1" applyBorder="1" applyAlignment="1">
      <alignment horizontal="right"/>
    </xf>
    <xf numFmtId="0" fontId="2" fillId="0" borderId="12" xfId="0" applyFont="1" applyBorder="1"/>
    <xf numFmtId="0" fontId="2" fillId="0" borderId="14" xfId="0" applyFont="1" applyBorder="1"/>
    <xf numFmtId="0" fontId="2" fillId="0" borderId="11" xfId="0" applyFont="1" applyBorder="1" applyAlignment="1">
      <alignment horizontal="centerContinuous"/>
    </xf>
    <xf numFmtId="9" fontId="2" fillId="0" borderId="14" xfId="4" applyFont="1" applyBorder="1" applyAlignment="1">
      <alignment horizontal="right"/>
    </xf>
    <xf numFmtId="9" fontId="2" fillId="0" borderId="0" xfId="4" applyFont="1" applyBorder="1" applyAlignment="1">
      <alignment horizontal="right"/>
    </xf>
    <xf numFmtId="9" fontId="2" fillId="0" borderId="12" xfId="4" applyFont="1" applyBorder="1"/>
    <xf numFmtId="169" fontId="2" fillId="0" borderId="0" xfId="0" applyNumberFormat="1" applyFont="1" applyAlignment="1">
      <alignment horizontal="right"/>
    </xf>
    <xf numFmtId="169" fontId="10" fillId="0" borderId="0" xfId="0" quotePrefix="1" applyNumberFormat="1" applyFont="1" applyAlignment="1">
      <alignment horizontal="right"/>
    </xf>
    <xf numFmtId="169" fontId="2" fillId="0" borderId="0" xfId="0" applyNumberFormat="1" applyFont="1"/>
    <xf numFmtId="169" fontId="2" fillId="0" borderId="10" xfId="0" applyNumberFormat="1" applyFont="1" applyBorder="1" applyAlignment="1">
      <alignment horizontal="right"/>
    </xf>
    <xf numFmtId="169" fontId="2" fillId="0" borderId="10" xfId="0" quotePrefix="1" applyNumberFormat="1" applyFont="1" applyBorder="1" applyAlignment="1">
      <alignment horizontal="right"/>
    </xf>
    <xf numFmtId="169" fontId="4" fillId="0" borderId="0" xfId="0" applyNumberFormat="1" applyFont="1" applyAlignment="1">
      <alignment horizontal="right"/>
    </xf>
    <xf numFmtId="169" fontId="7" fillId="0" borderId="0" xfId="0" applyNumberFormat="1" applyFont="1" applyAlignment="1">
      <alignment horizontal="right"/>
    </xf>
    <xf numFmtId="169" fontId="4" fillId="0" borderId="0" xfId="0" applyNumberFormat="1" applyFont="1"/>
    <xf numFmtId="169" fontId="2" fillId="0" borderId="0" xfId="1" applyNumberFormat="1" applyFont="1" applyBorder="1" applyAlignment="1">
      <alignment horizontal="right"/>
    </xf>
    <xf numFmtId="169" fontId="2" fillId="0" borderId="12" xfId="0" applyNumberFormat="1" applyFont="1" applyBorder="1" applyAlignment="1">
      <alignment horizontal="right"/>
    </xf>
    <xf numFmtId="169" fontId="6" fillId="0" borderId="12" xfId="0" applyNumberFormat="1" applyFont="1" applyBorder="1" applyAlignment="1">
      <alignment horizontal="right" wrapText="1"/>
    </xf>
    <xf numFmtId="169" fontId="2" fillId="0" borderId="12" xfId="0" applyNumberFormat="1" applyFont="1" applyBorder="1"/>
    <xf numFmtId="169" fontId="7" fillId="0" borderId="0" xfId="0" quotePrefix="1" applyNumberFormat="1" applyFont="1" applyAlignment="1">
      <alignment horizontal="right"/>
    </xf>
    <xf numFmtId="169" fontId="9" fillId="0" borderId="0" xfId="1" applyNumberFormat="1" applyFont="1" applyBorder="1" applyAlignment="1">
      <alignment horizontal="right"/>
    </xf>
    <xf numFmtId="169" fontId="6" fillId="0" borderId="0" xfId="0" applyNumberFormat="1" applyFont="1" applyAlignment="1">
      <alignment horizontal="right" wrapText="1"/>
    </xf>
    <xf numFmtId="169" fontId="2" fillId="0" borderId="12" xfId="1" applyNumberFormat="1" applyFont="1" applyBorder="1" applyAlignment="1">
      <alignment horizontal="right"/>
    </xf>
    <xf numFmtId="169" fontId="4" fillId="0" borderId="21" xfId="0" applyNumberFormat="1" applyFont="1" applyBorder="1" applyAlignment="1">
      <alignment horizontal="right"/>
    </xf>
    <xf numFmtId="169" fontId="4" fillId="0" borderId="21" xfId="0" applyNumberFormat="1" applyFont="1" applyBorder="1"/>
    <xf numFmtId="169" fontId="2" fillId="0" borderId="14" xfId="0" applyNumberFormat="1" applyFont="1" applyBorder="1"/>
    <xf numFmtId="169" fontId="4" fillId="0" borderId="12" xfId="0" applyNumberFormat="1" applyFont="1" applyBorder="1"/>
    <xf numFmtId="166" fontId="24" fillId="0" borderId="0" xfId="0" applyNumberFormat="1" applyFont="1" applyAlignment="1">
      <alignment vertical="center"/>
    </xf>
    <xf numFmtId="0" fontId="12" fillId="0" borderId="0" xfId="0" applyFont="1" applyAlignment="1">
      <alignment horizontal="right"/>
    </xf>
    <xf numFmtId="0" fontId="26" fillId="0" borderId="14" xfId="0" applyFont="1" applyBorder="1" applyAlignment="1">
      <alignment horizontal="center"/>
    </xf>
    <xf numFmtId="0" fontId="26" fillId="0" borderId="0" xfId="0" applyFont="1" applyAlignment="1">
      <alignment horizontal="center"/>
    </xf>
    <xf numFmtId="0" fontId="26" fillId="0" borderId="12" xfId="0" applyFont="1" applyBorder="1" applyAlignment="1">
      <alignment horizontal="center"/>
    </xf>
    <xf numFmtId="0" fontId="12" fillId="0" borderId="12" xfId="0" applyFont="1" applyBorder="1" applyAlignment="1">
      <alignment horizontal="right"/>
    </xf>
    <xf numFmtId="0" fontId="12" fillId="0" borderId="14" xfId="0" applyFont="1" applyBorder="1" applyAlignment="1">
      <alignment horizontal="right"/>
    </xf>
    <xf numFmtId="0" fontId="2" fillId="0" borderId="21" xfId="0" applyFont="1" applyBorder="1"/>
    <xf numFmtId="0" fontId="12" fillId="0" borderId="21" xfId="0" applyFont="1" applyBorder="1" applyAlignment="1">
      <alignment horizontal="right"/>
    </xf>
    <xf numFmtId="0" fontId="6" fillId="0" borderId="0" xfId="0" applyFont="1"/>
    <xf numFmtId="0" fontId="6" fillId="0" borderId="1" xfId="0" applyFont="1" applyBorder="1" applyAlignment="1">
      <alignment horizontal="centerContinuous"/>
    </xf>
    <xf numFmtId="0" fontId="6" fillId="0" borderId="0" xfId="0" applyFont="1" applyAlignment="1">
      <alignment horizontal="right"/>
    </xf>
    <xf numFmtId="165" fontId="27" fillId="0" borderId="1" xfId="0" applyNumberFormat="1" applyFont="1" applyBorder="1" applyAlignment="1">
      <alignment horizontal="right"/>
    </xf>
    <xf numFmtId="9" fontId="2" fillId="0" borderId="0" xfId="4" applyFont="1"/>
    <xf numFmtId="0" fontId="28" fillId="0" borderId="0" xfId="0" applyFont="1" applyAlignment="1">
      <alignment horizontal="right"/>
    </xf>
    <xf numFmtId="169" fontId="4" fillId="0" borderId="14" xfId="0" applyNumberFormat="1" applyFont="1" applyBorder="1"/>
    <xf numFmtId="9" fontId="26" fillId="0" borderId="14" xfId="4" applyFont="1" applyBorder="1" applyAlignment="1">
      <alignment horizontal="right"/>
    </xf>
    <xf numFmtId="9" fontId="26" fillId="0" borderId="0" xfId="4" applyFont="1" applyBorder="1" applyAlignment="1">
      <alignment horizontal="right"/>
    </xf>
    <xf numFmtId="9" fontId="2" fillId="0" borderId="0" xfId="4" applyFont="1" applyAlignment="1">
      <alignment horizontal="right"/>
    </xf>
    <xf numFmtId="169" fontId="2" fillId="4" borderId="0" xfId="0" applyNumberFormat="1" applyFont="1" applyFill="1"/>
    <xf numFmtId="169" fontId="2" fillId="4" borderId="12" xfId="0" applyNumberFormat="1" applyFont="1" applyFill="1" applyBorder="1"/>
    <xf numFmtId="169" fontId="4" fillId="4" borderId="0" xfId="0" applyNumberFormat="1" applyFont="1" applyFill="1"/>
    <xf numFmtId="169" fontId="4" fillId="4" borderId="14" xfId="0" applyNumberFormat="1" applyFont="1" applyFill="1" applyBorder="1"/>
    <xf numFmtId="169" fontId="4" fillId="4" borderId="21" xfId="0" applyNumberFormat="1" applyFont="1" applyFill="1" applyBorder="1"/>
    <xf numFmtId="169" fontId="4" fillId="4" borderId="22" xfId="0" applyNumberFormat="1" applyFont="1" applyFill="1" applyBorder="1"/>
    <xf numFmtId="169" fontId="4" fillId="4" borderId="12" xfId="0" applyNumberFormat="1" applyFont="1" applyFill="1" applyBorder="1"/>
    <xf numFmtId="169" fontId="2" fillId="4" borderId="14" xfId="0" applyNumberFormat="1" applyFont="1" applyFill="1" applyBorder="1"/>
    <xf numFmtId="169" fontId="2" fillId="4" borderId="15" xfId="0" applyNumberFormat="1" applyFont="1" applyFill="1" applyBorder="1"/>
    <xf numFmtId="169" fontId="2" fillId="4" borderId="17" xfId="0" applyNumberFormat="1" applyFont="1" applyFill="1" applyBorder="1"/>
    <xf numFmtId="169" fontId="2" fillId="4" borderId="0" xfId="0" applyNumberFormat="1" applyFont="1" applyFill="1" applyAlignment="1">
      <alignment horizontal="right"/>
    </xf>
    <xf numFmtId="169" fontId="2" fillId="4" borderId="12" xfId="0" applyNumberFormat="1" applyFont="1" applyFill="1" applyBorder="1" applyAlignment="1">
      <alignment horizontal="right"/>
    </xf>
    <xf numFmtId="169" fontId="4" fillId="4" borderId="0" xfId="0" applyNumberFormat="1" applyFont="1" applyFill="1" applyAlignment="1">
      <alignment horizontal="right"/>
    </xf>
    <xf numFmtId="169" fontId="2" fillId="4" borderId="10" xfId="0" applyNumberFormat="1" applyFont="1" applyFill="1" applyBorder="1" applyAlignment="1">
      <alignment horizontal="right"/>
    </xf>
    <xf numFmtId="169" fontId="4" fillId="4" borderId="21" xfId="0" applyNumberFormat="1" applyFont="1" applyFill="1" applyBorder="1" applyAlignment="1">
      <alignment horizontal="right"/>
    </xf>
    <xf numFmtId="9" fontId="2" fillId="4" borderId="14" xfId="4" applyFont="1" applyFill="1" applyBorder="1" applyAlignment="1">
      <alignment horizontal="right"/>
    </xf>
    <xf numFmtId="9" fontId="2" fillId="4" borderId="0" xfId="4" applyFont="1" applyFill="1" applyBorder="1" applyAlignment="1">
      <alignment horizontal="right"/>
    </xf>
    <xf numFmtId="9" fontId="4" fillId="0" borderId="0" xfId="4" applyFont="1"/>
    <xf numFmtId="0" fontId="30" fillId="0" borderId="0" xfId="0" applyFont="1"/>
    <xf numFmtId="166" fontId="8" fillId="0" borderId="0" xfId="0" applyNumberFormat="1" applyFont="1" applyAlignment="1">
      <alignment horizontal="centerContinuous"/>
    </xf>
    <xf numFmtId="166" fontId="2" fillId="0" borderId="0" xfId="0" applyNumberFormat="1" applyFont="1"/>
    <xf numFmtId="166" fontId="4" fillId="0" borderId="0" xfId="0" applyNumberFormat="1" applyFont="1"/>
    <xf numFmtId="166" fontId="11" fillId="0" borderId="0" xfId="0" applyNumberFormat="1" applyFont="1"/>
    <xf numFmtId="166" fontId="6" fillId="0" borderId="0" xfId="0" applyNumberFormat="1" applyFont="1"/>
    <xf numFmtId="0" fontId="2" fillId="0" borderId="0" xfId="0" applyFont="1" applyAlignment="1">
      <alignment horizontal="left"/>
    </xf>
    <xf numFmtId="166" fontId="31" fillId="0" borderId="0" xfId="0" applyNumberFormat="1" applyFont="1"/>
    <xf numFmtId="166" fontId="24" fillId="0" borderId="0" xfId="0" applyNumberFormat="1" applyFont="1" applyAlignment="1">
      <alignment horizontal="left" vertical="center"/>
    </xf>
    <xf numFmtId="166" fontId="31" fillId="0" borderId="0" xfId="0" applyNumberFormat="1" applyFont="1" applyAlignment="1">
      <alignment horizontal="left" vertical="center"/>
    </xf>
    <xf numFmtId="166" fontId="2" fillId="0" borderId="14" xfId="0" applyNumberFormat="1" applyFont="1" applyBorder="1"/>
    <xf numFmtId="166" fontId="2" fillId="0" borderId="12" xfId="0" applyNumberFormat="1" applyFont="1" applyBorder="1"/>
    <xf numFmtId="0" fontId="4" fillId="0" borderId="12" xfId="0" applyFont="1" applyBorder="1"/>
    <xf numFmtId="0" fontId="2" fillId="0" borderId="0" xfId="4" applyNumberFormat="1" applyFont="1"/>
    <xf numFmtId="9" fontId="2" fillId="4" borderId="0" xfId="4" applyFont="1" applyFill="1"/>
    <xf numFmtId="169" fontId="4" fillId="3" borderId="0" xfId="0" applyNumberFormat="1" applyFont="1" applyFill="1"/>
    <xf numFmtId="166" fontId="4" fillId="0" borderId="12" xfId="0" applyNumberFormat="1" applyFont="1" applyBorder="1"/>
    <xf numFmtId="169" fontId="4" fillId="3" borderId="12" xfId="0" applyNumberFormat="1" applyFont="1" applyFill="1" applyBorder="1"/>
    <xf numFmtId="166" fontId="6" fillId="0" borderId="12" xfId="0" applyNumberFormat="1" applyFont="1" applyBorder="1"/>
    <xf numFmtId="0" fontId="6" fillId="0" borderId="12" xfId="0" applyFont="1" applyBorder="1"/>
    <xf numFmtId="166" fontId="6" fillId="0" borderId="23" xfId="0" applyNumberFormat="1" applyFont="1" applyBorder="1"/>
    <xf numFmtId="0" fontId="6" fillId="0" borderId="23" xfId="0" applyFont="1" applyBorder="1"/>
    <xf numFmtId="9" fontId="2" fillId="3" borderId="0" xfId="4" applyFont="1" applyFill="1"/>
    <xf numFmtId="170" fontId="26" fillId="0" borderId="18" xfId="4" applyNumberFormat="1" applyFont="1" applyBorder="1" applyAlignment="1">
      <alignment horizontal="right"/>
    </xf>
    <xf numFmtId="170" fontId="26" fillId="0" borderId="12" xfId="4" applyNumberFormat="1" applyFont="1" applyBorder="1" applyAlignment="1">
      <alignment horizontal="right"/>
    </xf>
    <xf numFmtId="170" fontId="26" fillId="0" borderId="19" xfId="4" applyNumberFormat="1" applyFont="1" applyBorder="1" applyAlignment="1">
      <alignment horizontal="right"/>
    </xf>
    <xf numFmtId="169" fontId="4" fillId="4" borderId="14" xfId="0" applyNumberFormat="1" applyFont="1" applyFill="1" applyBorder="1" applyAlignment="1">
      <alignment horizontal="right"/>
    </xf>
    <xf numFmtId="166" fontId="32" fillId="2" borderId="0" xfId="0" applyNumberFormat="1" applyFont="1" applyFill="1" applyAlignment="1">
      <alignment horizontal="centerContinuous"/>
    </xf>
    <xf numFmtId="0" fontId="33" fillId="2" borderId="0" xfId="0" applyFont="1" applyFill="1" applyAlignment="1">
      <alignment horizontal="centerContinuous"/>
    </xf>
    <xf numFmtId="0" fontId="34" fillId="2" borderId="0" xfId="0" applyFont="1" applyFill="1" applyAlignment="1">
      <alignment horizontal="centerContinuous"/>
    </xf>
    <xf numFmtId="0" fontId="35" fillId="2" borderId="0" xfId="0" applyFont="1" applyFill="1" applyAlignment="1">
      <alignment horizontal="centerContinuous"/>
    </xf>
    <xf numFmtId="166" fontId="32" fillId="5" borderId="0" xfId="0" applyNumberFormat="1" applyFont="1" applyFill="1" applyAlignment="1">
      <alignment horizontal="centerContinuous"/>
    </xf>
    <xf numFmtId="0" fontId="32" fillId="5" borderId="0" xfId="0" applyFont="1" applyFill="1" applyAlignment="1">
      <alignment horizontal="centerContinuous"/>
    </xf>
    <xf numFmtId="0" fontId="3" fillId="0" borderId="14" xfId="0" applyFont="1" applyBorder="1"/>
    <xf numFmtId="166" fontId="2" fillId="0" borderId="21" xfId="0" applyNumberFormat="1" applyFont="1" applyBorder="1"/>
    <xf numFmtId="0" fontId="26" fillId="0" borderId="0" xfId="4" applyNumberFormat="1" applyFont="1" applyBorder="1" applyAlignment="1">
      <alignment horizontal="right"/>
    </xf>
    <xf numFmtId="170" fontId="26" fillId="0" borderId="13" xfId="4" applyNumberFormat="1" applyFont="1" applyBorder="1" applyAlignment="1">
      <alignment horizontal="right"/>
    </xf>
    <xf numFmtId="170" fontId="26" fillId="0" borderId="14" xfId="4" applyNumberFormat="1" applyFont="1" applyBorder="1" applyAlignment="1">
      <alignment horizontal="right"/>
    </xf>
    <xf numFmtId="170" fontId="26" fillId="0" borderId="15" xfId="4" applyNumberFormat="1" applyFont="1" applyBorder="1" applyAlignment="1">
      <alignment horizontal="right"/>
    </xf>
    <xf numFmtId="170" fontId="26" fillId="0" borderId="16" xfId="4" applyNumberFormat="1" applyFont="1" applyBorder="1" applyAlignment="1">
      <alignment horizontal="right"/>
    </xf>
    <xf numFmtId="170" fontId="26" fillId="0" borderId="0" xfId="4" applyNumberFormat="1" applyFont="1" applyAlignment="1">
      <alignment horizontal="right"/>
    </xf>
    <xf numFmtId="170" fontId="26" fillId="0" borderId="17" xfId="4" applyNumberFormat="1" applyFont="1" applyBorder="1" applyAlignment="1">
      <alignment horizontal="right"/>
    </xf>
    <xf numFmtId="170" fontId="4" fillId="4" borderId="20" xfId="4" applyNumberFormat="1" applyFont="1" applyFill="1" applyBorder="1" applyAlignment="1">
      <alignment horizontal="right"/>
    </xf>
    <xf numFmtId="170" fontId="4" fillId="4" borderId="21" xfId="4" applyNumberFormat="1" applyFont="1" applyFill="1" applyBorder="1" applyAlignment="1">
      <alignment horizontal="right"/>
    </xf>
    <xf numFmtId="170" fontId="4" fillId="4" borderId="22" xfId="4" applyNumberFormat="1" applyFont="1" applyFill="1" applyBorder="1" applyAlignment="1">
      <alignment horizontal="right"/>
    </xf>
    <xf numFmtId="0" fontId="36" fillId="0" borderId="0" xfId="0" applyFont="1" applyAlignment="1">
      <alignment horizontal="right"/>
    </xf>
    <xf numFmtId="0" fontId="36" fillId="0" borderId="14" xfId="0" applyFont="1" applyBorder="1" applyAlignment="1">
      <alignment horizontal="right"/>
    </xf>
    <xf numFmtId="0" fontId="36" fillId="0" borderId="12" xfId="0" applyFont="1" applyBorder="1" applyAlignment="1">
      <alignment horizontal="right"/>
    </xf>
    <xf numFmtId="169" fontId="2" fillId="0" borderId="0" xfId="0" applyNumberFormat="1" applyFont="1" applyAlignment="1">
      <alignment horizontal="centerContinuous"/>
    </xf>
    <xf numFmtId="169" fontId="4" fillId="0" borderId="0" xfId="0" applyNumberFormat="1" applyFont="1" applyAlignment="1">
      <alignment horizontal="centerContinuous"/>
    </xf>
    <xf numFmtId="0" fontId="37" fillId="0" borderId="0" xfId="0" applyFont="1"/>
    <xf numFmtId="169" fontId="4" fillId="0" borderId="0" xfId="0" applyNumberFormat="1" applyFont="1" applyAlignment="1">
      <alignment horizontal="left"/>
    </xf>
    <xf numFmtId="169" fontId="2" fillId="4" borderId="16" xfId="0" applyNumberFormat="1" applyFont="1" applyFill="1" applyBorder="1"/>
    <xf numFmtId="169" fontId="2" fillId="0" borderId="15" xfId="0" applyNumberFormat="1" applyFont="1" applyBorder="1"/>
    <xf numFmtId="169" fontId="2" fillId="0" borderId="17" xfId="0" applyNumberFormat="1" applyFont="1" applyBorder="1"/>
    <xf numFmtId="169" fontId="2" fillId="0" borderId="19" xfId="0" applyNumberFormat="1" applyFont="1" applyBorder="1"/>
    <xf numFmtId="172" fontId="38" fillId="4" borderId="16" xfId="0" applyNumberFormat="1" applyFont="1" applyFill="1" applyBorder="1" applyAlignment="1">
      <alignment horizontal="right"/>
    </xf>
    <xf numFmtId="173" fontId="2" fillId="0" borderId="14" xfId="0" applyNumberFormat="1" applyFont="1" applyBorder="1" applyAlignment="1">
      <alignment horizontal="left"/>
    </xf>
    <xf numFmtId="173" fontId="2" fillId="0" borderId="0" xfId="0" applyNumberFormat="1" applyFont="1" applyAlignment="1">
      <alignment horizontal="left"/>
    </xf>
    <xf numFmtId="169" fontId="2" fillId="3" borderId="0" xfId="0" applyNumberFormat="1" applyFont="1" applyFill="1"/>
    <xf numFmtId="169" fontId="2" fillId="3" borderId="0" xfId="0" applyNumberFormat="1" applyFont="1" applyFill="1" applyAlignment="1">
      <alignment horizontal="left"/>
    </xf>
    <xf numFmtId="165" fontId="27" fillId="0" borderId="0" xfId="0" applyNumberFormat="1" applyFont="1" applyAlignment="1">
      <alignment horizontal="right"/>
    </xf>
    <xf numFmtId="169" fontId="2" fillId="3" borderId="12" xfId="0" applyNumberFormat="1" applyFont="1" applyFill="1" applyBorder="1"/>
    <xf numFmtId="0" fontId="26" fillId="0" borderId="14" xfId="0" applyFont="1" applyBorder="1"/>
    <xf numFmtId="9" fontId="2" fillId="0" borderId="14" xfId="4" applyFont="1" applyBorder="1"/>
    <xf numFmtId="0" fontId="26" fillId="0" borderId="0" xfId="0" applyFont="1"/>
    <xf numFmtId="0" fontId="0" fillId="0" borderId="12" xfId="0" applyBorder="1"/>
    <xf numFmtId="0" fontId="26" fillId="0" borderId="12" xfId="0" applyFont="1" applyBorder="1"/>
    <xf numFmtId="169" fontId="26" fillId="0" borderId="0" xfId="0" applyNumberFormat="1" applyFont="1" applyAlignment="1">
      <alignment horizontal="right"/>
    </xf>
    <xf numFmtId="169" fontId="26" fillId="0" borderId="12" xfId="0" applyNumberFormat="1" applyFont="1" applyBorder="1" applyAlignment="1">
      <alignment horizontal="right"/>
    </xf>
    <xf numFmtId="174" fontId="6" fillId="4" borderId="0" xfId="0" applyNumberFormat="1" applyFont="1" applyFill="1"/>
    <xf numFmtId="174" fontId="6" fillId="0" borderId="12" xfId="0" applyNumberFormat="1" applyFont="1" applyBorder="1"/>
    <xf numFmtId="169" fontId="2" fillId="4" borderId="0" xfId="1" applyNumberFormat="1" applyFont="1" applyFill="1" applyBorder="1" applyAlignment="1">
      <alignment horizontal="right"/>
    </xf>
    <xf numFmtId="169" fontId="2" fillId="4" borderId="12" xfId="1" applyNumberFormat="1" applyFont="1" applyFill="1" applyBorder="1" applyAlignment="1">
      <alignment horizontal="right"/>
    </xf>
    <xf numFmtId="0" fontId="4" fillId="3" borderId="0" xfId="0" applyFont="1" applyFill="1"/>
    <xf numFmtId="169" fontId="4" fillId="3" borderId="14" xfId="0" applyNumberFormat="1" applyFont="1" applyFill="1" applyBorder="1"/>
    <xf numFmtId="169" fontId="4" fillId="4" borderId="20" xfId="0" applyNumberFormat="1" applyFont="1" applyFill="1" applyBorder="1"/>
    <xf numFmtId="9" fontId="4" fillId="0" borderId="0" xfId="4" applyFont="1" applyAlignment="1">
      <alignment horizontal="right"/>
    </xf>
    <xf numFmtId="9" fontId="2" fillId="4" borderId="12" xfId="4" applyFont="1" applyFill="1" applyBorder="1"/>
    <xf numFmtId="175" fontId="39" fillId="0" borderId="0" xfId="0" applyNumberFormat="1" applyFont="1" applyAlignment="1">
      <alignment wrapText="1"/>
    </xf>
    <xf numFmtId="175" fontId="40" fillId="0" borderId="0" xfId="0" applyNumberFormat="1" applyFont="1" applyAlignment="1">
      <alignment wrapText="1"/>
    </xf>
    <xf numFmtId="176" fontId="40" fillId="0" borderId="0" xfId="0" applyNumberFormat="1" applyFont="1" applyAlignment="1">
      <alignment wrapText="1"/>
    </xf>
    <xf numFmtId="176" fontId="39" fillId="0" borderId="0" xfId="0" applyNumberFormat="1" applyFont="1" applyAlignment="1">
      <alignment wrapText="1"/>
    </xf>
    <xf numFmtId="177" fontId="41" fillId="0" borderId="0" xfId="1" applyNumberFormat="1" applyFont="1" applyAlignment="1">
      <alignment vertical="top"/>
    </xf>
    <xf numFmtId="169" fontId="2" fillId="0" borderId="0" xfId="4" applyNumberFormat="1" applyFont="1"/>
    <xf numFmtId="169" fontId="4" fillId="0" borderId="14" xfId="0" applyNumberFormat="1" applyFont="1" applyBorder="1" applyAlignment="1">
      <alignment horizontal="right"/>
    </xf>
    <xf numFmtId="9" fontId="6" fillId="0" borderId="0" xfId="0" applyNumberFormat="1" applyFont="1"/>
    <xf numFmtId="169" fontId="26" fillId="0" borderId="0" xfId="0" applyNumberFormat="1" applyFont="1"/>
    <xf numFmtId="173" fontId="2" fillId="3" borderId="0" xfId="0" applyNumberFormat="1" applyFont="1" applyFill="1" applyAlignment="1">
      <alignment horizontal="left"/>
    </xf>
    <xf numFmtId="172" fontId="38" fillId="3" borderId="0" xfId="0" applyNumberFormat="1" applyFont="1" applyFill="1" applyAlignment="1">
      <alignment horizontal="right"/>
    </xf>
    <xf numFmtId="169" fontId="2" fillId="0" borderId="0" xfId="0" applyNumberFormat="1" applyFont="1" applyAlignment="1">
      <alignment horizontal="left"/>
    </xf>
    <xf numFmtId="169" fontId="4" fillId="0" borderId="14" xfId="0" applyNumberFormat="1" applyFont="1" applyBorder="1" applyAlignment="1">
      <alignment horizontal="left"/>
    </xf>
    <xf numFmtId="172" fontId="38" fillId="3" borderId="14" xfId="0" applyNumberFormat="1" applyFont="1" applyFill="1" applyBorder="1" applyAlignment="1">
      <alignment horizontal="right"/>
    </xf>
    <xf numFmtId="0" fontId="38" fillId="3" borderId="0" xfId="0" applyFont="1" applyFill="1" applyAlignment="1">
      <alignment horizontal="right"/>
    </xf>
    <xf numFmtId="0" fontId="38" fillId="3" borderId="14" xfId="0" applyFont="1" applyFill="1" applyBorder="1" applyAlignment="1">
      <alignment horizontal="right"/>
    </xf>
    <xf numFmtId="166" fontId="2" fillId="3" borderId="0" xfId="0" applyNumberFormat="1" applyFont="1" applyFill="1"/>
    <xf numFmtId="169" fontId="2" fillId="3" borderId="0" xfId="0" applyNumberFormat="1" applyFont="1" applyFill="1" applyAlignment="1">
      <alignment horizontal="right"/>
    </xf>
    <xf numFmtId="169" fontId="2" fillId="3" borderId="12" xfId="0" applyNumberFormat="1" applyFont="1" applyFill="1" applyBorder="1" applyAlignment="1">
      <alignment horizontal="right"/>
    </xf>
    <xf numFmtId="174" fontId="6" fillId="3" borderId="0" xfId="0" applyNumberFormat="1" applyFont="1" applyFill="1"/>
    <xf numFmtId="169" fontId="27" fillId="0" borderId="0" xfId="0" applyNumberFormat="1" applyFont="1" applyAlignment="1">
      <alignment horizontal="centerContinuous"/>
    </xf>
    <xf numFmtId="0" fontId="4" fillId="0" borderId="12" xfId="0" applyFont="1" applyBorder="1" applyAlignment="1">
      <alignment horizontal="right"/>
    </xf>
    <xf numFmtId="0" fontId="4" fillId="0" borderId="12" xfId="0" applyFont="1" applyBorder="1" applyAlignment="1">
      <alignment horizontal="right" wrapText="1"/>
    </xf>
    <xf numFmtId="3" fontId="2" fillId="0" borderId="0" xfId="0" applyNumberFormat="1" applyFont="1"/>
    <xf numFmtId="178" fontId="2" fillId="0" borderId="0" xfId="0" applyNumberFormat="1" applyFont="1"/>
    <xf numFmtId="173" fontId="2" fillId="0" borderId="0" xfId="0" applyNumberFormat="1" applyFont="1"/>
    <xf numFmtId="173" fontId="2" fillId="0" borderId="12" xfId="0" applyNumberFormat="1" applyFont="1" applyBorder="1"/>
    <xf numFmtId="9" fontId="2" fillId="0" borderId="12" xfId="4" applyFont="1" applyBorder="1" applyAlignment="1">
      <alignment horizontal="right"/>
    </xf>
    <xf numFmtId="173" fontId="2" fillId="0" borderId="0" xfId="0" applyNumberFormat="1" applyFont="1" applyAlignment="1">
      <alignment horizontal="right"/>
    </xf>
    <xf numFmtId="173" fontId="2" fillId="0" borderId="12" xfId="0" applyNumberFormat="1" applyFont="1" applyBorder="1" applyAlignment="1">
      <alignment horizontal="right"/>
    </xf>
    <xf numFmtId="170" fontId="2" fillId="0" borderId="0" xfId="4" applyNumberFormat="1" applyFont="1"/>
    <xf numFmtId="0" fontId="4" fillId="0" borderId="11" xfId="0" applyFont="1" applyBorder="1" applyAlignment="1">
      <alignment horizontal="right"/>
    </xf>
    <xf numFmtId="170" fontId="37" fillId="0" borderId="0" xfId="4" applyNumberFormat="1" applyFont="1"/>
    <xf numFmtId="10" fontId="2" fillId="0" borderId="14" xfId="0" applyNumberFormat="1" applyFont="1" applyBorder="1"/>
    <xf numFmtId="170" fontId="2" fillId="0" borderId="0" xfId="4" applyNumberFormat="1" applyFont="1" applyBorder="1"/>
    <xf numFmtId="170" fontId="2" fillId="0" borderId="14" xfId="4" applyNumberFormat="1" applyFont="1" applyBorder="1"/>
    <xf numFmtId="170" fontId="30" fillId="0" borderId="0" xfId="4" applyNumberFormat="1" applyFont="1"/>
    <xf numFmtId="170" fontId="2" fillId="0" borderId="0" xfId="0" applyNumberFormat="1" applyFont="1" applyAlignment="1">
      <alignment horizontal="right"/>
    </xf>
    <xf numFmtId="10" fontId="2" fillId="0" borderId="0" xfId="0" applyNumberFormat="1" applyFont="1" applyAlignment="1">
      <alignment horizontal="right"/>
    </xf>
    <xf numFmtId="180" fontId="2" fillId="0" borderId="0" xfId="0" applyNumberFormat="1" applyFont="1"/>
    <xf numFmtId="0" fontId="26" fillId="0" borderId="0" xfId="0" applyFont="1" applyAlignment="1">
      <alignment horizontal="right"/>
    </xf>
    <xf numFmtId="9" fontId="42" fillId="0" borderId="13" xfId="4" applyFont="1" applyBorder="1" applyAlignment="1">
      <alignment horizontal="right"/>
    </xf>
    <xf numFmtId="9" fontId="42" fillId="0" borderId="14" xfId="4" applyFont="1" applyBorder="1" applyAlignment="1">
      <alignment horizontal="right"/>
    </xf>
    <xf numFmtId="9" fontId="42" fillId="0" borderId="15" xfId="4" applyFont="1" applyBorder="1" applyAlignment="1">
      <alignment horizontal="right"/>
    </xf>
    <xf numFmtId="9" fontId="42" fillId="0" borderId="16" xfId="4" applyFont="1" applyBorder="1" applyAlignment="1">
      <alignment horizontal="right"/>
    </xf>
    <xf numFmtId="9" fontId="42" fillId="0" borderId="0" xfId="4" applyFont="1" applyAlignment="1">
      <alignment horizontal="right"/>
    </xf>
    <xf numFmtId="9" fontId="42" fillId="0" borderId="17" xfId="4" applyFont="1" applyBorder="1" applyAlignment="1">
      <alignment horizontal="right"/>
    </xf>
    <xf numFmtId="9" fontId="42" fillId="0" borderId="18" xfId="4" applyFont="1" applyBorder="1" applyAlignment="1">
      <alignment horizontal="right"/>
    </xf>
    <xf numFmtId="9" fontId="42" fillId="0" borderId="12" xfId="4" applyFont="1" applyBorder="1" applyAlignment="1">
      <alignment horizontal="right"/>
    </xf>
    <xf numFmtId="9" fontId="42" fillId="0" borderId="19" xfId="4" applyFont="1" applyBorder="1" applyAlignment="1">
      <alignment horizontal="right"/>
    </xf>
    <xf numFmtId="14" fontId="42" fillId="0" borderId="14" xfId="0" applyNumberFormat="1" applyFont="1" applyBorder="1" applyAlignment="1">
      <alignment horizontal="right"/>
    </xf>
    <xf numFmtId="14" fontId="42" fillId="0" borderId="0" xfId="0" applyNumberFormat="1" applyFont="1" applyAlignment="1">
      <alignment horizontal="right"/>
    </xf>
    <xf numFmtId="0" fontId="42" fillId="0" borderId="12" xfId="0" applyFont="1" applyBorder="1" applyAlignment="1">
      <alignment horizontal="right"/>
    </xf>
    <xf numFmtId="169" fontId="42" fillId="0" borderId="13" xfId="0" applyNumberFormat="1" applyFont="1" applyBorder="1" applyAlignment="1">
      <alignment horizontal="right"/>
    </xf>
    <xf numFmtId="169" fontId="42" fillId="0" borderId="14" xfId="0" applyNumberFormat="1" applyFont="1" applyBorder="1" applyAlignment="1">
      <alignment horizontal="right"/>
    </xf>
    <xf numFmtId="169" fontId="42" fillId="0" borderId="15" xfId="0" applyNumberFormat="1" applyFont="1" applyBorder="1" applyAlignment="1">
      <alignment horizontal="right"/>
    </xf>
    <xf numFmtId="169" fontId="42" fillId="0" borderId="16" xfId="0" applyNumberFormat="1" applyFont="1" applyBorder="1" applyAlignment="1">
      <alignment horizontal="right"/>
    </xf>
    <xf numFmtId="169" fontId="42" fillId="0" borderId="0" xfId="0" applyNumberFormat="1" applyFont="1" applyAlignment="1">
      <alignment horizontal="right"/>
    </xf>
    <xf numFmtId="169" fontId="42" fillId="0" borderId="17" xfId="0" applyNumberFormat="1" applyFont="1" applyBorder="1" applyAlignment="1">
      <alignment horizontal="right"/>
    </xf>
    <xf numFmtId="169" fontId="42" fillId="0" borderId="18" xfId="0" applyNumberFormat="1" applyFont="1" applyBorder="1" applyAlignment="1">
      <alignment horizontal="right"/>
    </xf>
    <xf numFmtId="169" fontId="42" fillId="0" borderId="12" xfId="0" applyNumberFormat="1" applyFont="1" applyBorder="1" applyAlignment="1">
      <alignment horizontal="right"/>
    </xf>
    <xf numFmtId="169" fontId="42" fillId="0" borderId="19" xfId="0" applyNumberFormat="1" applyFont="1" applyBorder="1" applyAlignment="1">
      <alignment horizontal="right"/>
    </xf>
    <xf numFmtId="0" fontId="42" fillId="0" borderId="0" xfId="0" applyFont="1" applyAlignment="1">
      <alignment horizontal="right"/>
    </xf>
    <xf numFmtId="9" fontId="42" fillId="0" borderId="0" xfId="4" applyFont="1" applyBorder="1" applyAlignment="1">
      <alignment horizontal="right"/>
    </xf>
    <xf numFmtId="170" fontId="42" fillId="0" borderId="18" xfId="4" applyNumberFormat="1" applyFont="1" applyBorder="1" applyAlignment="1">
      <alignment horizontal="right"/>
    </xf>
    <xf numFmtId="170" fontId="42" fillId="0" borderId="12" xfId="4" applyNumberFormat="1" applyFont="1" applyBorder="1" applyAlignment="1">
      <alignment horizontal="right"/>
    </xf>
    <xf numFmtId="170" fontId="42" fillId="0" borderId="19" xfId="4" applyNumberFormat="1" applyFont="1" applyBorder="1" applyAlignment="1">
      <alignment horizontal="right"/>
    </xf>
    <xf numFmtId="0" fontId="42" fillId="0" borderId="14" xfId="0" applyFont="1" applyBorder="1"/>
    <xf numFmtId="0" fontId="42" fillId="0" borderId="0" xfId="0" applyFont="1"/>
    <xf numFmtId="9" fontId="42" fillId="0" borderId="12" xfId="4" applyFont="1" applyBorder="1"/>
    <xf numFmtId="169" fontId="42" fillId="0" borderId="20" xfId="0" applyNumberFormat="1" applyFont="1" applyBorder="1" applyAlignment="1">
      <alignment horizontal="right"/>
    </xf>
    <xf numFmtId="169" fontId="42" fillId="0" borderId="21" xfId="0" applyNumberFormat="1" applyFont="1" applyBorder="1" applyAlignment="1">
      <alignment horizontal="right"/>
    </xf>
    <xf numFmtId="169" fontId="42" fillId="0" borderId="22" xfId="0" applyNumberFormat="1" applyFont="1" applyBorder="1" applyAlignment="1">
      <alignment horizontal="right"/>
    </xf>
    <xf numFmtId="169" fontId="42" fillId="0" borderId="14" xfId="0" applyNumberFormat="1" applyFont="1" applyBorder="1"/>
    <xf numFmtId="169" fontId="42" fillId="0" borderId="0" xfId="0" applyNumberFormat="1" applyFont="1"/>
    <xf numFmtId="169" fontId="42" fillId="0" borderId="12" xfId="0" applyNumberFormat="1" applyFont="1" applyBorder="1"/>
    <xf numFmtId="9" fontId="42" fillId="0" borderId="0" xfId="4" applyFont="1" applyBorder="1"/>
    <xf numFmtId="9" fontId="42" fillId="0" borderId="0" xfId="4" applyFont="1"/>
    <xf numFmtId="0" fontId="42" fillId="0" borderId="12" xfId="0" applyFont="1" applyBorder="1"/>
    <xf numFmtId="169" fontId="42" fillId="0" borderId="0" xfId="0" applyNumberFormat="1" applyFont="1" applyAlignment="1">
      <alignment horizontal="left"/>
    </xf>
    <xf numFmtId="169" fontId="42" fillId="0" borderId="12" xfId="0" applyNumberFormat="1" applyFont="1" applyBorder="1" applyAlignment="1">
      <alignment horizontal="left"/>
    </xf>
    <xf numFmtId="173" fontId="42" fillId="0" borderId="0" xfId="0" applyNumberFormat="1" applyFont="1" applyAlignment="1">
      <alignment horizontal="right"/>
    </xf>
    <xf numFmtId="173" fontId="42" fillId="0" borderId="12" xfId="0" applyNumberFormat="1" applyFont="1" applyBorder="1" applyAlignment="1">
      <alignment horizontal="right"/>
    </xf>
    <xf numFmtId="170" fontId="42" fillId="0" borderId="0" xfId="4" applyNumberFormat="1" applyFont="1"/>
    <xf numFmtId="170" fontId="42" fillId="0" borderId="0" xfId="4" applyNumberFormat="1" applyFont="1" applyBorder="1"/>
    <xf numFmtId="0" fontId="6" fillId="0" borderId="21" xfId="0" applyFont="1" applyBorder="1"/>
    <xf numFmtId="0" fontId="43" fillId="0" borderId="16" xfId="0" applyFont="1" applyBorder="1" applyAlignment="1">
      <alignment horizontal="center"/>
    </xf>
    <xf numFmtId="0" fontId="43" fillId="0" borderId="17" xfId="0" applyFont="1" applyBorder="1" applyAlignment="1">
      <alignment horizontal="center"/>
    </xf>
    <xf numFmtId="179" fontId="2" fillId="4" borderId="0" xfId="0" applyNumberFormat="1" applyFont="1" applyFill="1"/>
    <xf numFmtId="9" fontId="2" fillId="4" borderId="14" xfId="4" applyFont="1" applyFill="1" applyBorder="1"/>
    <xf numFmtId="9" fontId="2" fillId="4" borderId="0" xfId="4" applyFont="1" applyFill="1" applyBorder="1"/>
    <xf numFmtId="175" fontId="2" fillId="0" borderId="14" xfId="0" applyNumberFormat="1" applyFont="1" applyBorder="1"/>
    <xf numFmtId="175" fontId="2" fillId="0" borderId="0" xfId="0" applyNumberFormat="1" applyFont="1"/>
    <xf numFmtId="175" fontId="2" fillId="0" borderId="12" xfId="0" applyNumberFormat="1" applyFont="1" applyBorder="1"/>
    <xf numFmtId="169" fontId="12" fillId="0" borderId="12" xfId="0" applyNumberFormat="1" applyFont="1" applyBorder="1" applyAlignment="1">
      <alignment horizontal="right"/>
    </xf>
    <xf numFmtId="173" fontId="4" fillId="4" borderId="12" xfId="0" applyNumberFormat="1" applyFont="1" applyFill="1" applyBorder="1"/>
    <xf numFmtId="14" fontId="43" fillId="4" borderId="16" xfId="0" applyNumberFormat="1" applyFont="1" applyFill="1" applyBorder="1" applyAlignment="1">
      <alignment horizontal="center"/>
    </xf>
    <xf numFmtId="14" fontId="43" fillId="4" borderId="17" xfId="0" applyNumberFormat="1" applyFont="1" applyFill="1" applyBorder="1"/>
    <xf numFmtId="9" fontId="2" fillId="3" borderId="0" xfId="4" applyFont="1" applyFill="1" applyBorder="1"/>
    <xf numFmtId="179" fontId="2" fillId="3" borderId="0" xfId="0" applyNumberFormat="1" applyFont="1" applyFill="1"/>
    <xf numFmtId="169" fontId="4" fillId="0" borderId="0" xfId="0" applyNumberFormat="1" applyFont="1" applyAlignment="1">
      <alignment horizontal="center"/>
    </xf>
    <xf numFmtId="169" fontId="2" fillId="0" borderId="0" xfId="0" applyNumberFormat="1" applyFont="1" applyAlignment="1">
      <alignment horizontal="center"/>
    </xf>
    <xf numFmtId="182" fontId="42" fillId="0" borderId="0" xfId="5" applyNumberFormat="1" applyFont="1" applyFill="1" applyBorder="1" applyAlignment="1">
      <alignment vertical="center"/>
    </xf>
    <xf numFmtId="9" fontId="2" fillId="0" borderId="0" xfId="4" applyFont="1" applyBorder="1"/>
    <xf numFmtId="0" fontId="45" fillId="0" borderId="0" xfId="0" applyFont="1"/>
    <xf numFmtId="0" fontId="4" fillId="0" borderId="0" xfId="0" applyFont="1" applyAlignment="1">
      <alignment horizontal="left"/>
    </xf>
    <xf numFmtId="169" fontId="47" fillId="0" borderId="0" xfId="6" applyNumberFormat="1" applyFont="1" applyAlignment="1">
      <alignment horizontal="center"/>
    </xf>
    <xf numFmtId="0" fontId="4" fillId="0" borderId="11" xfId="0" applyFont="1" applyBorder="1"/>
    <xf numFmtId="0" fontId="2" fillId="0" borderId="11" xfId="0" applyFont="1" applyBorder="1"/>
    <xf numFmtId="0" fontId="0" fillId="0" borderId="11" xfId="0" applyBorder="1"/>
    <xf numFmtId="0" fontId="44" fillId="0" borderId="11" xfId="0" applyFont="1" applyBorder="1"/>
    <xf numFmtId="0" fontId="4" fillId="0" borderId="11" xfId="0" applyFont="1" applyBorder="1" applyAlignment="1">
      <alignment horizontal="left"/>
    </xf>
    <xf numFmtId="169" fontId="47" fillId="0" borderId="11" xfId="6" applyNumberFormat="1" applyFont="1" applyBorder="1" applyAlignment="1">
      <alignment horizontal="center"/>
    </xf>
    <xf numFmtId="0" fontId="4" fillId="0" borderId="11" xfId="0" applyFont="1" applyBorder="1" applyAlignment="1">
      <alignment horizontal="centerContinuous" wrapText="1"/>
    </xf>
    <xf numFmtId="169" fontId="42" fillId="0" borderId="11" xfId="0" applyNumberFormat="1" applyFont="1" applyBorder="1" applyAlignment="1">
      <alignment horizontal="left"/>
    </xf>
    <xf numFmtId="0" fontId="45" fillId="0" borderId="11" xfId="0" applyFont="1" applyBorder="1"/>
    <xf numFmtId="0" fontId="42" fillId="0" borderId="11" xfId="0" applyFont="1" applyBorder="1"/>
    <xf numFmtId="169" fontId="42" fillId="0" borderId="11" xfId="0" applyNumberFormat="1" applyFont="1" applyBorder="1" applyAlignment="1">
      <alignment horizontal="right"/>
    </xf>
    <xf numFmtId="0" fontId="4" fillId="0" borderId="26" xfId="0" applyFont="1" applyBorder="1"/>
    <xf numFmtId="0" fontId="4" fillId="0" borderId="17" xfId="0" applyFont="1" applyBorder="1" applyAlignment="1">
      <alignment horizontal="left"/>
    </xf>
    <xf numFmtId="0" fontId="4" fillId="0" borderId="26" xfId="0" applyFont="1" applyBorder="1" applyAlignment="1">
      <alignment horizontal="left"/>
    </xf>
    <xf numFmtId="0" fontId="47" fillId="0" borderId="17" xfId="6" applyFont="1" applyBorder="1" applyAlignment="1">
      <alignment horizontal="center"/>
    </xf>
    <xf numFmtId="169" fontId="47" fillId="0" borderId="26" xfId="6" applyNumberFormat="1" applyFont="1" applyBorder="1" applyAlignment="1">
      <alignment horizontal="center"/>
    </xf>
    <xf numFmtId="0" fontId="0" fillId="0" borderId="17" xfId="0" applyBorder="1"/>
    <xf numFmtId="0" fontId="0" fillId="0" borderId="26" xfId="0" applyBorder="1" applyAlignment="1">
      <alignment horizontal="centerContinuous"/>
    </xf>
    <xf numFmtId="0" fontId="2" fillId="0" borderId="0" xfId="0" applyFont="1" applyAlignment="1">
      <alignment horizontal="center"/>
    </xf>
    <xf numFmtId="0" fontId="0" fillId="0" borderId="17" xfId="0" applyBorder="1" applyAlignment="1">
      <alignment horizontal="center"/>
    </xf>
    <xf numFmtId="0" fontId="44" fillId="0" borderId="0" xfId="0" applyFont="1"/>
    <xf numFmtId="169" fontId="12" fillId="0" borderId="27" xfId="0" applyNumberFormat="1" applyFont="1" applyBorder="1" applyAlignment="1">
      <alignment horizontal="left"/>
    </xf>
    <xf numFmtId="0" fontId="12" fillId="0" borderId="17" xfId="0" applyFont="1" applyBorder="1" applyAlignment="1">
      <alignment horizontal="left"/>
    </xf>
    <xf numFmtId="169" fontId="50" fillId="0" borderId="0" xfId="6" applyNumberFormat="1" applyFont="1" applyAlignment="1">
      <alignment horizontal="center"/>
    </xf>
    <xf numFmtId="169" fontId="50" fillId="0" borderId="17" xfId="6" applyNumberFormat="1" applyFont="1" applyBorder="1" applyAlignment="1">
      <alignment horizontal="center"/>
    </xf>
    <xf numFmtId="0" fontId="12" fillId="0" borderId="0" xfId="0" applyFont="1" applyAlignment="1">
      <alignment horizontal="center" wrapText="1"/>
    </xf>
    <xf numFmtId="0" fontId="49" fillId="0" borderId="17" xfId="0" applyFont="1" applyBorder="1" applyAlignment="1">
      <alignment horizontal="center"/>
    </xf>
    <xf numFmtId="0" fontId="36" fillId="0" borderId="14" xfId="0" applyFont="1" applyBorder="1" applyAlignment="1">
      <alignment horizontal="left"/>
    </xf>
    <xf numFmtId="169" fontId="12" fillId="0" borderId="0" xfId="0" applyNumberFormat="1" applyFont="1" applyAlignment="1">
      <alignment horizontal="right"/>
    </xf>
    <xf numFmtId="0" fontId="36" fillId="0" borderId="0" xfId="0" applyFont="1" applyAlignment="1">
      <alignment horizontal="left"/>
    </xf>
    <xf numFmtId="181" fontId="2" fillId="0" borderId="17" xfId="4" applyNumberFormat="1" applyFont="1" applyBorder="1" applyAlignment="1">
      <alignment horizontal="center"/>
    </xf>
    <xf numFmtId="181" fontId="2" fillId="0" borderId="26" xfId="4" applyNumberFormat="1" applyFont="1" applyBorder="1" applyAlignment="1">
      <alignment horizontal="center"/>
    </xf>
    <xf numFmtId="169" fontId="2" fillId="0" borderId="17" xfId="4" applyNumberFormat="1" applyFont="1" applyBorder="1" applyAlignment="1">
      <alignment horizontal="left"/>
    </xf>
    <xf numFmtId="173" fontId="26" fillId="0" borderId="12" xfId="0" applyNumberFormat="1" applyFont="1" applyBorder="1" applyAlignment="1">
      <alignment horizontal="right"/>
    </xf>
    <xf numFmtId="181" fontId="2" fillId="0" borderId="0" xfId="4" applyNumberFormat="1" applyFont="1" applyBorder="1" applyAlignment="1">
      <alignment horizontal="center"/>
    </xf>
    <xf numFmtId="173" fontId="26" fillId="0" borderId="0" xfId="0" applyNumberFormat="1" applyFont="1" applyAlignment="1">
      <alignment horizontal="right"/>
    </xf>
    <xf numFmtId="173" fontId="26" fillId="0" borderId="14" xfId="0" applyNumberFormat="1" applyFont="1" applyBorder="1" applyAlignment="1">
      <alignment horizontal="right"/>
    </xf>
    <xf numFmtId="169" fontId="2" fillId="0" borderId="11" xfId="0" applyNumberFormat="1" applyFont="1" applyBorder="1" applyAlignment="1">
      <alignment horizontal="left"/>
    </xf>
    <xf numFmtId="181" fontId="2" fillId="0" borderId="11" xfId="4" applyNumberFormat="1" applyFont="1" applyBorder="1" applyAlignment="1">
      <alignment horizontal="center"/>
    </xf>
    <xf numFmtId="169" fontId="2" fillId="0" borderId="11" xfId="0" applyNumberFormat="1" applyFont="1" applyBorder="1"/>
    <xf numFmtId="0" fontId="44" fillId="0" borderId="17" xfId="0" applyFont="1" applyBorder="1"/>
    <xf numFmtId="9" fontId="0" fillId="0" borderId="0" xfId="4" applyFont="1" applyAlignment="1">
      <alignment horizontal="center"/>
    </xf>
    <xf numFmtId="9" fontId="0" fillId="0" borderId="17" xfId="4" applyFont="1" applyBorder="1" applyAlignment="1">
      <alignment horizontal="center"/>
    </xf>
    <xf numFmtId="183" fontId="53" fillId="0" borderId="0" xfId="0" quotePrefix="1" applyNumberFormat="1" applyFont="1" applyAlignment="1">
      <alignment horizontal="right"/>
    </xf>
    <xf numFmtId="183" fontId="55" fillId="0" borderId="0" xfId="0" quotePrefix="1" applyNumberFormat="1" applyFont="1" applyAlignment="1">
      <alignment horizontal="right"/>
    </xf>
    <xf numFmtId="184" fontId="55" fillId="0" borderId="0" xfId="0" quotePrefix="1" applyNumberFormat="1" applyFont="1" applyAlignment="1">
      <alignment horizontal="right"/>
    </xf>
    <xf numFmtId="185" fontId="55" fillId="0" borderId="0" xfId="0" quotePrefix="1" applyNumberFormat="1" applyFont="1" applyAlignment="1">
      <alignment horizontal="right"/>
    </xf>
    <xf numFmtId="186" fontId="55" fillId="0" borderId="0" xfId="0" quotePrefix="1" applyNumberFormat="1" applyFont="1" applyAlignment="1">
      <alignment horizontal="right"/>
    </xf>
    <xf numFmtId="2" fontId="2" fillId="0" borderId="0" xfId="0" applyNumberFormat="1" applyFont="1"/>
    <xf numFmtId="166" fontId="2" fillId="0" borderId="11" xfId="0" applyNumberFormat="1" applyFont="1" applyBorder="1"/>
    <xf numFmtId="0" fontId="36" fillId="0" borderId="11" xfId="0" applyFont="1" applyBorder="1" applyAlignment="1">
      <alignment horizontal="right"/>
    </xf>
    <xf numFmtId="9" fontId="2" fillId="0" borderId="11" xfId="4" applyFont="1" applyBorder="1"/>
    <xf numFmtId="172" fontId="38" fillId="4" borderId="31" xfId="0" applyNumberFormat="1" applyFont="1" applyFill="1" applyBorder="1" applyAlignment="1">
      <alignment horizontal="right"/>
    </xf>
    <xf numFmtId="172" fontId="38" fillId="4" borderId="32" xfId="0" applyNumberFormat="1" applyFont="1" applyFill="1" applyBorder="1" applyAlignment="1">
      <alignment horizontal="right"/>
    </xf>
    <xf numFmtId="172" fontId="38" fillId="4" borderId="33" xfId="0" applyNumberFormat="1" applyFont="1" applyFill="1" applyBorder="1" applyAlignment="1">
      <alignment horizontal="right"/>
    </xf>
    <xf numFmtId="169" fontId="4" fillId="0" borderId="34" xfId="0" applyNumberFormat="1" applyFont="1" applyBorder="1" applyAlignment="1">
      <alignment horizontal="left"/>
    </xf>
    <xf numFmtId="173" fontId="2" fillId="0" borderId="27" xfId="0" applyNumberFormat="1" applyFont="1" applyBorder="1" applyAlignment="1">
      <alignment horizontal="left"/>
    </xf>
    <xf numFmtId="169" fontId="2" fillId="0" borderId="35" xfId="0" applyNumberFormat="1" applyFont="1" applyBorder="1"/>
    <xf numFmtId="172" fontId="38" fillId="4" borderId="36" xfId="0" applyNumberFormat="1" applyFont="1" applyFill="1" applyBorder="1" applyAlignment="1">
      <alignment horizontal="right"/>
    </xf>
    <xf numFmtId="172" fontId="38" fillId="4" borderId="27" xfId="0" applyNumberFormat="1" applyFont="1" applyFill="1" applyBorder="1" applyAlignment="1">
      <alignment horizontal="right"/>
    </xf>
    <xf numFmtId="172" fontId="38" fillId="4" borderId="37" xfId="0" applyNumberFormat="1" applyFont="1" applyFill="1" applyBorder="1" applyAlignment="1">
      <alignment horizontal="right"/>
    </xf>
    <xf numFmtId="169" fontId="4" fillId="0" borderId="25" xfId="0" applyNumberFormat="1" applyFont="1" applyBorder="1" applyAlignment="1">
      <alignment horizontal="left"/>
    </xf>
    <xf numFmtId="172" fontId="38" fillId="4" borderId="0" xfId="0" applyNumberFormat="1" applyFont="1" applyFill="1" applyAlignment="1">
      <alignment horizontal="right"/>
    </xf>
    <xf numFmtId="172" fontId="38" fillId="4" borderId="29" xfId="0" applyNumberFormat="1" applyFont="1" applyFill="1" applyBorder="1" applyAlignment="1">
      <alignment horizontal="right"/>
    </xf>
    <xf numFmtId="169" fontId="4" fillId="0" borderId="24" xfId="0" applyNumberFormat="1" applyFont="1" applyBorder="1" applyAlignment="1">
      <alignment horizontal="left"/>
    </xf>
    <xf numFmtId="173" fontId="2" fillId="0" borderId="11" xfId="0" applyNumberFormat="1" applyFont="1" applyBorder="1" applyAlignment="1">
      <alignment horizontal="left"/>
    </xf>
    <xf numFmtId="169" fontId="2" fillId="0" borderId="26" xfId="0" applyNumberFormat="1" applyFont="1" applyBorder="1"/>
    <xf numFmtId="172" fontId="38" fillId="4" borderId="28" xfId="0" applyNumberFormat="1" applyFont="1" applyFill="1" applyBorder="1" applyAlignment="1">
      <alignment horizontal="right"/>
    </xf>
    <xf numFmtId="172" fontId="38" fillId="4" borderId="11" xfId="0" applyNumberFormat="1" applyFont="1" applyFill="1" applyBorder="1" applyAlignment="1">
      <alignment horizontal="right"/>
    </xf>
    <xf numFmtId="172" fontId="38" fillId="4" borderId="30" xfId="0" applyNumberFormat="1" applyFont="1" applyFill="1" applyBorder="1" applyAlignment="1">
      <alignment horizontal="right"/>
    </xf>
    <xf numFmtId="169" fontId="2" fillId="4" borderId="27" xfId="0" applyNumberFormat="1" applyFont="1" applyFill="1" applyBorder="1" applyAlignment="1">
      <alignment horizontal="left"/>
    </xf>
    <xf numFmtId="169" fontId="2" fillId="4" borderId="36" xfId="0" applyNumberFormat="1" applyFont="1" applyFill="1" applyBorder="1"/>
    <xf numFmtId="169" fontId="2" fillId="4" borderId="27" xfId="0" applyNumberFormat="1" applyFont="1" applyFill="1" applyBorder="1"/>
    <xf numFmtId="169" fontId="2" fillId="4" borderId="37" xfId="0" applyNumberFormat="1" applyFont="1" applyFill="1" applyBorder="1"/>
    <xf numFmtId="169" fontId="2" fillId="4" borderId="0" xfId="0" applyNumberFormat="1" applyFont="1" applyFill="1" applyAlignment="1">
      <alignment horizontal="left"/>
    </xf>
    <xf numFmtId="169" fontId="2" fillId="4" borderId="29" xfId="0" applyNumberFormat="1" applyFont="1" applyFill="1" applyBorder="1"/>
    <xf numFmtId="169" fontId="2" fillId="4" borderId="11" xfId="0" applyNumberFormat="1" applyFont="1" applyFill="1" applyBorder="1" applyAlignment="1">
      <alignment horizontal="left"/>
    </xf>
    <xf numFmtId="169" fontId="2" fillId="4" borderId="28" xfId="0" applyNumberFormat="1" applyFont="1" applyFill="1" applyBorder="1"/>
    <xf numFmtId="169" fontId="2" fillId="4" borderId="11" xfId="0" applyNumberFormat="1" applyFont="1" applyFill="1" applyBorder="1"/>
    <xf numFmtId="169" fontId="2" fillId="4" borderId="30" xfId="0" applyNumberFormat="1" applyFont="1" applyFill="1" applyBorder="1"/>
    <xf numFmtId="169" fontId="2" fillId="4" borderId="26" xfId="0" applyNumberFormat="1" applyFont="1" applyFill="1" applyBorder="1" applyAlignment="1">
      <alignment horizontal="left"/>
    </xf>
    <xf numFmtId="184" fontId="53" fillId="0" borderId="0" xfId="0" quotePrefix="1" applyNumberFormat="1" applyFont="1" applyAlignment="1">
      <alignment horizontal="right"/>
    </xf>
    <xf numFmtId="166" fontId="4" fillId="0" borderId="11" xfId="0" applyNumberFormat="1" applyFont="1" applyBorder="1"/>
    <xf numFmtId="9" fontId="2" fillId="0" borderId="0" xfId="0" applyNumberFormat="1" applyFont="1"/>
    <xf numFmtId="174" fontId="6" fillId="0" borderId="11" xfId="0" applyNumberFormat="1" applyFont="1" applyBorder="1"/>
    <xf numFmtId="0" fontId="12" fillId="0" borderId="11" xfId="0" applyFont="1" applyBorder="1" applyAlignment="1">
      <alignment horizontal="right"/>
    </xf>
    <xf numFmtId="174" fontId="6" fillId="0" borderId="0" xfId="0" applyNumberFormat="1" applyFont="1"/>
    <xf numFmtId="0" fontId="27" fillId="0" borderId="11" xfId="0" applyFont="1" applyBorder="1"/>
    <xf numFmtId="0" fontId="6" fillId="0" borderId="11" xfId="0" applyFont="1" applyBorder="1"/>
    <xf numFmtId="165" fontId="27" fillId="0" borderId="11" xfId="0" applyNumberFormat="1" applyFont="1" applyBorder="1" applyAlignment="1">
      <alignment horizontal="right"/>
    </xf>
    <xf numFmtId="9" fontId="6" fillId="0" borderId="11" xfId="0" applyNumberFormat="1" applyFont="1" applyBorder="1"/>
    <xf numFmtId="166" fontId="6" fillId="0" borderId="11" xfId="0" applyNumberFormat="1" applyFont="1" applyBorder="1"/>
    <xf numFmtId="169" fontId="4" fillId="0" borderId="31" xfId="0" applyNumberFormat="1" applyFont="1" applyBorder="1" applyAlignment="1">
      <alignment horizontal="left"/>
    </xf>
    <xf numFmtId="173" fontId="2" fillId="0" borderId="32" xfId="0" applyNumberFormat="1" applyFont="1" applyBorder="1" applyAlignment="1">
      <alignment horizontal="left"/>
    </xf>
    <xf numFmtId="169" fontId="2" fillId="0" borderId="32" xfId="0" applyNumberFormat="1" applyFont="1" applyBorder="1" applyAlignment="1">
      <alignment horizontal="left"/>
    </xf>
    <xf numFmtId="169" fontId="2" fillId="4" borderId="32" xfId="0" applyNumberFormat="1" applyFont="1" applyFill="1" applyBorder="1" applyAlignment="1">
      <alignment horizontal="right"/>
    </xf>
    <xf numFmtId="169" fontId="2" fillId="4" borderId="33" xfId="0" applyNumberFormat="1" applyFont="1" applyFill="1" applyBorder="1" applyAlignment="1">
      <alignment horizontal="right"/>
    </xf>
    <xf numFmtId="169" fontId="2" fillId="0" borderId="27" xfId="0" applyNumberFormat="1" applyFont="1" applyBorder="1" applyAlignment="1">
      <alignment horizontal="left"/>
    </xf>
    <xf numFmtId="173" fontId="2" fillId="4" borderId="27" xfId="0" applyNumberFormat="1" applyFont="1" applyFill="1" applyBorder="1" applyAlignment="1">
      <alignment horizontal="left"/>
    </xf>
    <xf numFmtId="173" fontId="2" fillId="4" borderId="0" xfId="0" applyNumberFormat="1" applyFont="1" applyFill="1" applyAlignment="1">
      <alignment horizontal="left"/>
    </xf>
    <xf numFmtId="173" fontId="2" fillId="4" borderId="11" xfId="0" applyNumberFormat="1" applyFont="1" applyFill="1" applyBorder="1" applyAlignment="1">
      <alignment horizontal="left"/>
    </xf>
    <xf numFmtId="169" fontId="30" fillId="0" borderId="0" xfId="0" applyNumberFormat="1" applyFont="1" applyAlignment="1">
      <alignment horizontal="right"/>
    </xf>
    <xf numFmtId="14" fontId="43" fillId="0" borderId="0" xfId="0" applyNumberFormat="1" applyFont="1" applyAlignment="1">
      <alignment horizontal="center"/>
    </xf>
    <xf numFmtId="14" fontId="43" fillId="4" borderId="0" xfId="0" applyNumberFormat="1" applyFont="1" applyFill="1"/>
    <xf numFmtId="183" fontId="56" fillId="0" borderId="0" xfId="0" applyNumberFormat="1" applyFont="1" applyAlignment="1">
      <alignment horizontal="right"/>
    </xf>
    <xf numFmtId="183" fontId="57" fillId="0" borderId="0" xfId="0" quotePrefix="1" applyNumberFormat="1" applyFont="1" applyAlignment="1">
      <alignment horizontal="right"/>
    </xf>
    <xf numFmtId="0" fontId="52" fillId="0" borderId="0" xfId="0" applyFont="1"/>
    <xf numFmtId="170" fontId="2" fillId="0" borderId="0" xfId="0" applyNumberFormat="1" applyFont="1"/>
    <xf numFmtId="170" fontId="2" fillId="0" borderId="11" xfId="4" applyNumberFormat="1" applyFont="1" applyBorder="1"/>
    <xf numFmtId="169" fontId="30" fillId="0" borderId="11" xfId="0" applyNumberFormat="1" applyFont="1" applyBorder="1" applyAlignment="1">
      <alignment horizontal="right"/>
    </xf>
    <xf numFmtId="165" fontId="27" fillId="0" borderId="38" xfId="0" applyNumberFormat="1" applyFont="1" applyBorder="1" applyAlignment="1">
      <alignment horizontal="center"/>
    </xf>
    <xf numFmtId="165" fontId="27" fillId="0" borderId="39" xfId="0" applyNumberFormat="1" applyFont="1" applyBorder="1" applyAlignment="1">
      <alignment horizontal="centerContinuous"/>
    </xf>
    <xf numFmtId="165" fontId="27" fillId="0" borderId="40" xfId="0" applyNumberFormat="1" applyFont="1" applyBorder="1" applyAlignment="1">
      <alignment horizontal="centerContinuous"/>
    </xf>
    <xf numFmtId="165" fontId="27" fillId="0" borderId="41" xfId="0" applyNumberFormat="1" applyFont="1" applyBorder="1" applyAlignment="1">
      <alignment horizontal="centerContinuous"/>
    </xf>
    <xf numFmtId="165" fontId="4" fillId="0" borderId="42" xfId="0" quotePrefix="1" applyNumberFormat="1" applyFont="1" applyBorder="1" applyAlignment="1">
      <alignment horizontal="center"/>
    </xf>
    <xf numFmtId="0" fontId="43" fillId="0" borderId="25" xfId="0" applyFont="1" applyBorder="1" applyAlignment="1">
      <alignment horizontal="center"/>
    </xf>
    <xf numFmtId="0" fontId="43" fillId="0" borderId="0" xfId="0" applyFont="1" applyAlignment="1">
      <alignment horizontal="center"/>
    </xf>
    <xf numFmtId="0" fontId="43" fillId="0" borderId="29" xfId="0" applyFont="1" applyBorder="1" applyAlignment="1">
      <alignment horizontal="center"/>
    </xf>
    <xf numFmtId="14" fontId="43" fillId="0" borderId="25" xfId="0" applyNumberFormat="1" applyFont="1" applyBorder="1" applyAlignment="1">
      <alignment horizontal="center"/>
    </xf>
    <xf numFmtId="14" fontId="43" fillId="4" borderId="29" xfId="0" applyNumberFormat="1" applyFont="1" applyFill="1" applyBorder="1"/>
    <xf numFmtId="14" fontId="43" fillId="0" borderId="24" xfId="0" applyNumberFormat="1" applyFont="1" applyBorder="1" applyAlignment="1">
      <alignment horizontal="center"/>
    </xf>
    <xf numFmtId="14" fontId="43" fillId="4" borderId="28" xfId="0" applyNumberFormat="1" applyFont="1" applyFill="1" applyBorder="1" applyAlignment="1">
      <alignment horizontal="center"/>
    </xf>
    <xf numFmtId="14" fontId="43" fillId="4" borderId="11" xfId="0" applyNumberFormat="1" applyFont="1" applyFill="1" applyBorder="1"/>
    <xf numFmtId="14" fontId="43" fillId="4" borderId="26" xfId="0" applyNumberFormat="1" applyFont="1" applyFill="1" applyBorder="1"/>
    <xf numFmtId="14" fontId="43" fillId="4" borderId="30" xfId="0" applyNumberFormat="1" applyFont="1" applyFill="1" applyBorder="1"/>
    <xf numFmtId="181" fontId="2" fillId="0" borderId="0" xfId="5" applyNumberFormat="1" applyFont="1" applyFill="1" applyBorder="1" applyAlignment="1">
      <alignment vertical="center"/>
    </xf>
    <xf numFmtId="14" fontId="43" fillId="4" borderId="43" xfId="0" applyNumberFormat="1" applyFont="1" applyFill="1" applyBorder="1"/>
    <xf numFmtId="14" fontId="43" fillId="3" borderId="0" xfId="0" applyNumberFormat="1" applyFont="1" applyFill="1" applyAlignment="1">
      <alignment horizontal="center"/>
    </xf>
    <xf numFmtId="14" fontId="43" fillId="3" borderId="0" xfId="0" applyNumberFormat="1" applyFont="1" applyFill="1"/>
    <xf numFmtId="169" fontId="12" fillId="0" borderId="11" xfId="0" applyNumberFormat="1" applyFont="1" applyBorder="1" applyAlignment="1">
      <alignment horizontal="right"/>
    </xf>
    <xf numFmtId="166" fontId="30" fillId="0" borderId="0" xfId="0" applyNumberFormat="1" applyFont="1"/>
    <xf numFmtId="9" fontId="30" fillId="0" borderId="0" xfId="4" applyFont="1" applyAlignment="1">
      <alignment horizontal="right"/>
    </xf>
    <xf numFmtId="9" fontId="30" fillId="4" borderId="0" xfId="4" applyFont="1" applyFill="1" applyAlignment="1">
      <alignment horizontal="right"/>
    </xf>
    <xf numFmtId="0" fontId="25" fillId="2" borderId="2" xfId="0" applyFont="1" applyFill="1" applyBorder="1"/>
    <xf numFmtId="188" fontId="2" fillId="0" borderId="0" xfId="0" applyNumberFormat="1" applyFont="1" applyAlignment="1">
      <alignment horizontal="right"/>
    </xf>
    <xf numFmtId="0" fontId="4" fillId="0" borderId="11" xfId="0" applyFont="1" applyBorder="1" applyAlignment="1">
      <alignment horizontal="centerContinuous"/>
    </xf>
    <xf numFmtId="0" fontId="4" fillId="0" borderId="0" xfId="0" applyFont="1" applyAlignment="1">
      <alignment horizontal="center"/>
    </xf>
    <xf numFmtId="187" fontId="60" fillId="0" borderId="0" xfId="0" applyNumberFormat="1" applyFont="1" applyAlignment="1">
      <alignment horizontal="center"/>
    </xf>
    <xf numFmtId="0" fontId="51" fillId="0" borderId="0" xfId="0" applyFont="1" applyAlignment="1">
      <alignment horizontal="left"/>
    </xf>
    <xf numFmtId="0" fontId="61" fillId="0" borderId="0" xfId="0" applyFont="1" applyAlignment="1">
      <alignment horizontal="left"/>
    </xf>
    <xf numFmtId="0" fontId="43" fillId="0" borderId="0" xfId="0" applyFont="1" applyAlignment="1">
      <alignment horizontal="centerContinuous" vertical="center"/>
    </xf>
    <xf numFmtId="0" fontId="51" fillId="0" borderId="0" xfId="0" applyFont="1" applyAlignment="1">
      <alignment horizontal="centerContinuous"/>
    </xf>
    <xf numFmtId="0" fontId="51" fillId="0" borderId="0" xfId="0" applyFont="1"/>
    <xf numFmtId="187" fontId="62" fillId="0" borderId="0" xfId="0" applyNumberFormat="1" applyFont="1" applyAlignment="1">
      <alignment horizontal="right"/>
    </xf>
    <xf numFmtId="189" fontId="36" fillId="0" borderId="0" xfId="4" applyNumberFormat="1" applyFont="1" applyFill="1" applyBorder="1" applyAlignment="1">
      <alignment horizontal="right" vertical="center"/>
    </xf>
    <xf numFmtId="169" fontId="60" fillId="0" borderId="45" xfId="1" applyNumberFormat="1" applyFont="1" applyFill="1" applyBorder="1" applyAlignment="1">
      <alignment vertical="center"/>
    </xf>
    <xf numFmtId="169" fontId="60" fillId="0" borderId="46" xfId="1" applyNumberFormat="1" applyFont="1" applyFill="1" applyBorder="1" applyAlignment="1">
      <alignment vertical="center"/>
    </xf>
    <xf numFmtId="169" fontId="60" fillId="0" borderId="47" xfId="1" applyNumberFormat="1" applyFont="1" applyFill="1" applyBorder="1" applyAlignment="1">
      <alignment vertical="center"/>
    </xf>
    <xf numFmtId="169" fontId="60" fillId="0" borderId="44" xfId="1" applyNumberFormat="1" applyFont="1" applyFill="1" applyBorder="1" applyAlignment="1">
      <alignment vertical="center"/>
    </xf>
    <xf numFmtId="169" fontId="60" fillId="0" borderId="0" xfId="1" applyNumberFormat="1" applyFont="1" applyFill="1" applyAlignment="1">
      <alignment vertical="center"/>
    </xf>
    <xf numFmtId="169" fontId="60" fillId="0" borderId="48" xfId="1" applyNumberFormat="1" applyFont="1" applyFill="1" applyBorder="1" applyAlignment="1">
      <alignment vertical="center"/>
    </xf>
    <xf numFmtId="169" fontId="63" fillId="0" borderId="49" xfId="1" applyNumberFormat="1" applyFont="1" applyFill="1" applyBorder="1" applyAlignment="1">
      <alignment vertical="center"/>
    </xf>
    <xf numFmtId="169" fontId="60" fillId="0" borderId="50" xfId="1" applyNumberFormat="1" applyFont="1" applyFill="1" applyBorder="1" applyAlignment="1">
      <alignment vertical="center"/>
    </xf>
    <xf numFmtId="169" fontId="60" fillId="0" borderId="51" xfId="1" applyNumberFormat="1" applyFont="1" applyFill="1" applyBorder="1" applyAlignment="1">
      <alignment vertical="center"/>
    </xf>
    <xf numFmtId="169" fontId="60" fillId="0" borderId="52" xfId="1" applyNumberFormat="1" applyFont="1" applyFill="1" applyBorder="1" applyAlignment="1">
      <alignment vertical="center"/>
    </xf>
    <xf numFmtId="0" fontId="48" fillId="0" borderId="0" xfId="0" applyFont="1" applyAlignment="1">
      <alignment horizontal="centerContinuous"/>
    </xf>
    <xf numFmtId="9" fontId="60" fillId="0" borderId="45" xfId="4" applyFont="1" applyFill="1" applyBorder="1" applyAlignment="1">
      <alignment vertical="center"/>
    </xf>
    <xf numFmtId="9" fontId="60" fillId="0" borderId="46" xfId="4" applyFont="1" applyFill="1" applyBorder="1" applyAlignment="1">
      <alignment vertical="center"/>
    </xf>
    <xf numFmtId="9" fontId="60" fillId="0" borderId="47" xfId="4" applyFont="1" applyFill="1" applyBorder="1" applyAlignment="1">
      <alignment vertical="center"/>
    </xf>
    <xf numFmtId="9" fontId="60" fillId="0" borderId="44" xfId="4" applyFont="1" applyFill="1" applyBorder="1" applyAlignment="1">
      <alignment vertical="center"/>
    </xf>
    <xf numFmtId="9" fontId="60" fillId="0" borderId="0" xfId="4" applyFont="1" applyFill="1" applyAlignment="1">
      <alignment vertical="center"/>
    </xf>
    <xf numFmtId="9" fontId="60" fillId="0" borderId="48" xfId="4" applyFont="1" applyFill="1" applyBorder="1" applyAlignment="1">
      <alignment vertical="center"/>
    </xf>
    <xf numFmtId="9" fontId="63" fillId="0" borderId="49" xfId="4" applyFont="1" applyFill="1" applyBorder="1" applyAlignment="1">
      <alignment vertical="center"/>
    </xf>
    <xf numFmtId="9" fontId="60" fillId="0" borderId="50" xfId="4" applyFont="1" applyFill="1" applyBorder="1" applyAlignment="1">
      <alignment vertical="center"/>
    </xf>
    <xf numFmtId="9" fontId="60" fillId="0" borderId="51" xfId="4" applyFont="1" applyFill="1" applyBorder="1" applyAlignment="1">
      <alignment vertical="center"/>
    </xf>
    <xf numFmtId="9" fontId="60" fillId="0" borderId="52" xfId="4" applyFont="1" applyFill="1" applyBorder="1" applyAlignment="1">
      <alignment vertical="center"/>
    </xf>
    <xf numFmtId="0" fontId="34" fillId="3" borderId="0" xfId="0" applyFont="1" applyFill="1"/>
    <xf numFmtId="0" fontId="65" fillId="0" borderId="0" xfId="3" applyFont="1"/>
    <xf numFmtId="166" fontId="66" fillId="0" borderId="0" xfId="7" applyNumberFormat="1" applyFont="1" applyFill="1" applyBorder="1"/>
    <xf numFmtId="0" fontId="67" fillId="0" borderId="0" xfId="3" applyFont="1"/>
    <xf numFmtId="0" fontId="67" fillId="0" borderId="0" xfId="7" applyFont="1" applyFill="1" applyBorder="1"/>
    <xf numFmtId="190" fontId="59" fillId="0" borderId="53" xfId="0" applyNumberFormat="1" applyFont="1" applyBorder="1" applyAlignment="1">
      <alignment horizontal="center"/>
    </xf>
    <xf numFmtId="169" fontId="4" fillId="0" borderId="12" xfId="0" applyNumberFormat="1" applyFont="1" applyBorder="1" applyAlignment="1">
      <alignment horizontal="left"/>
    </xf>
    <xf numFmtId="173" fontId="2" fillId="3" borderId="12" xfId="0" applyNumberFormat="1" applyFont="1" applyFill="1" applyBorder="1" applyAlignment="1">
      <alignment horizontal="left"/>
    </xf>
    <xf numFmtId="169" fontId="2" fillId="3" borderId="12" xfId="0" applyNumberFormat="1" applyFont="1" applyFill="1" applyBorder="1" applyAlignment="1">
      <alignment horizontal="left"/>
    </xf>
    <xf numFmtId="166" fontId="2" fillId="0" borderId="54" xfId="0" applyNumberFormat="1" applyFont="1" applyBorder="1"/>
    <xf numFmtId="0" fontId="2" fillId="0" borderId="54" xfId="0" applyFont="1" applyBorder="1"/>
    <xf numFmtId="0" fontId="36" fillId="0" borderId="54" xfId="0" applyFont="1" applyBorder="1" applyAlignment="1">
      <alignment horizontal="right"/>
    </xf>
    <xf numFmtId="9" fontId="2" fillId="0" borderId="54" xfId="4" applyFont="1" applyBorder="1" applyAlignment="1">
      <alignment horizontal="right"/>
    </xf>
    <xf numFmtId="9" fontId="6" fillId="0" borderId="54" xfId="0" applyNumberFormat="1" applyFont="1" applyBorder="1"/>
    <xf numFmtId="9" fontId="6" fillId="0" borderId="12" xfId="0" applyNumberFormat="1" applyFont="1" applyBorder="1"/>
    <xf numFmtId="187" fontId="68" fillId="3" borderId="0" xfId="0" applyNumberFormat="1" applyFont="1" applyFill="1" applyAlignment="1">
      <alignment horizontal="center"/>
    </xf>
    <xf numFmtId="0" fontId="34" fillId="0" borderId="0" xfId="0" applyFont="1"/>
    <xf numFmtId="191" fontId="60" fillId="0" borderId="0" xfId="0" applyNumberFormat="1" applyFont="1" applyAlignment="1">
      <alignment horizontal="center"/>
    </xf>
    <xf numFmtId="173" fontId="60" fillId="0" borderId="45" xfId="1" applyNumberFormat="1" applyFont="1" applyFill="1" applyBorder="1" applyAlignment="1">
      <alignment vertical="center"/>
    </xf>
    <xf numFmtId="173" fontId="60" fillId="0" borderId="46" xfId="1" applyNumberFormat="1" applyFont="1" applyFill="1" applyBorder="1" applyAlignment="1">
      <alignment vertical="center"/>
    </xf>
    <xf numFmtId="173" fontId="60" fillId="0" borderId="47" xfId="1" applyNumberFormat="1" applyFont="1" applyFill="1" applyBorder="1" applyAlignment="1">
      <alignment vertical="center"/>
    </xf>
    <xf numFmtId="173" fontId="60" fillId="0" borderId="44" xfId="1" applyNumberFormat="1" applyFont="1" applyFill="1" applyBorder="1" applyAlignment="1">
      <alignment vertical="center"/>
    </xf>
    <xf numFmtId="173" fontId="60" fillId="0" borderId="0" xfId="1" applyNumberFormat="1" applyFont="1" applyFill="1" applyAlignment="1">
      <alignment vertical="center"/>
    </xf>
    <xf numFmtId="173" fontId="60" fillId="0" borderId="48" xfId="1" applyNumberFormat="1" applyFont="1" applyFill="1" applyBorder="1" applyAlignment="1">
      <alignment vertical="center"/>
    </xf>
    <xf numFmtId="173" fontId="63" fillId="0" borderId="49" xfId="1" applyNumberFormat="1" applyFont="1" applyFill="1" applyBorder="1" applyAlignment="1">
      <alignment vertical="center"/>
    </xf>
    <xf numFmtId="173" fontId="60" fillId="0" borderId="50" xfId="1" applyNumberFormat="1" applyFont="1" applyFill="1" applyBorder="1" applyAlignment="1">
      <alignment vertical="center"/>
    </xf>
    <xf numFmtId="173" fontId="60" fillId="0" borderId="51" xfId="1" applyNumberFormat="1" applyFont="1" applyFill="1" applyBorder="1" applyAlignment="1">
      <alignment vertical="center"/>
    </xf>
    <xf numFmtId="173" fontId="60" fillId="0" borderId="52" xfId="1" applyNumberFormat="1" applyFont="1" applyFill="1" applyBorder="1" applyAlignment="1">
      <alignment vertical="center"/>
    </xf>
    <xf numFmtId="182" fontId="2" fillId="0" borderId="0" xfId="5" applyNumberFormat="1" applyFont="1" applyFill="1" applyBorder="1" applyAlignment="1">
      <alignment vertical="center"/>
    </xf>
    <xf numFmtId="0" fontId="60" fillId="0" borderId="0" xfId="0" applyFont="1" applyAlignment="1">
      <alignment horizontal="centerContinuous" vertical="center"/>
    </xf>
    <xf numFmtId="187" fontId="6" fillId="0" borderId="0" xfId="0" applyNumberFormat="1" applyFont="1" applyAlignment="1">
      <alignment horizontal="center"/>
    </xf>
    <xf numFmtId="191" fontId="6" fillId="0" borderId="0" xfId="0" applyNumberFormat="1" applyFont="1" applyAlignment="1">
      <alignment horizontal="center"/>
    </xf>
    <xf numFmtId="0" fontId="4" fillId="0" borderId="12" xfId="0" applyFont="1" applyBorder="1" applyAlignment="1">
      <alignment horizontal="centerContinuous"/>
    </xf>
    <xf numFmtId="169" fontId="4" fillId="0" borderId="11" xfId="0" applyNumberFormat="1" applyFont="1" applyBorder="1"/>
    <xf numFmtId="0" fontId="44" fillId="0" borderId="0" xfId="0" applyFont="1" applyAlignment="1">
      <alignment horizontal="center"/>
    </xf>
    <xf numFmtId="0" fontId="49" fillId="0" borderId="0" xfId="0" applyFont="1" applyAlignment="1">
      <alignment horizontal="center"/>
    </xf>
    <xf numFmtId="169" fontId="0" fillId="0" borderId="0" xfId="0" applyNumberFormat="1"/>
    <xf numFmtId="188" fontId="0" fillId="0" borderId="0" xfId="0" applyNumberFormat="1"/>
    <xf numFmtId="173" fontId="2" fillId="0" borderId="0" xfId="4" applyNumberFormat="1" applyFont="1" applyBorder="1" applyAlignment="1">
      <alignment horizontal="left"/>
    </xf>
    <xf numFmtId="192" fontId="6" fillId="0" borderId="0" xfId="0" applyNumberFormat="1" applyFont="1" applyAlignment="1">
      <alignment horizontal="center"/>
    </xf>
    <xf numFmtId="0" fontId="4" fillId="0" borderId="12" xfId="0" applyFont="1" applyBorder="1" applyAlignment="1">
      <alignment horizontal="center"/>
    </xf>
    <xf numFmtId="0" fontId="2" fillId="0" borderId="17" xfId="0" applyFont="1" applyBorder="1"/>
    <xf numFmtId="0" fontId="34" fillId="0" borderId="16" xfId="0" applyFont="1" applyBorder="1"/>
    <xf numFmtId="187" fontId="60" fillId="0" borderId="17" xfId="0" applyNumberFormat="1" applyFont="1" applyBorder="1" applyAlignment="1">
      <alignment horizontal="center"/>
    </xf>
    <xf numFmtId="166" fontId="2" fillId="0" borderId="0" xfId="0" applyNumberFormat="1" applyFont="1" applyAlignment="1">
      <alignment horizontal="right"/>
    </xf>
    <xf numFmtId="166" fontId="2" fillId="0" borderId="17" xfId="0" applyNumberFormat="1" applyFont="1" applyBorder="1" applyAlignment="1">
      <alignment horizontal="right"/>
    </xf>
    <xf numFmtId="187" fontId="60" fillId="0" borderId="14" xfId="0" applyNumberFormat="1"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69" fillId="0" borderId="0" xfId="0" applyFont="1"/>
    <xf numFmtId="4" fontId="0" fillId="0" borderId="0" xfId="0" applyNumberFormat="1"/>
    <xf numFmtId="0" fontId="2" fillId="0" borderId="40" xfId="0" applyFont="1" applyBorder="1" applyAlignment="1">
      <alignment horizontal="right"/>
    </xf>
    <xf numFmtId="0" fontId="4" fillId="0" borderId="14" xfId="0" applyFont="1" applyBorder="1"/>
    <xf numFmtId="183" fontId="70" fillId="0" borderId="0" xfId="0" applyNumberFormat="1" applyFont="1" applyAlignment="1">
      <alignment horizontal="left" indent="1"/>
    </xf>
    <xf numFmtId="184" fontId="70" fillId="0" borderId="0" xfId="0" applyNumberFormat="1" applyFont="1" applyAlignment="1">
      <alignment horizontal="left" indent="1"/>
    </xf>
    <xf numFmtId="185" fontId="70" fillId="0" borderId="0" xfId="0" applyNumberFormat="1" applyFont="1" applyAlignment="1">
      <alignment horizontal="left" indent="1"/>
    </xf>
    <xf numFmtId="186" fontId="70" fillId="0" borderId="0" xfId="0" applyNumberFormat="1" applyFont="1" applyAlignment="1">
      <alignment horizontal="left" indent="1"/>
    </xf>
    <xf numFmtId="0" fontId="4" fillId="0" borderId="14" xfId="0" applyFont="1" applyBorder="1" applyAlignment="1">
      <alignment horizontal="right"/>
    </xf>
    <xf numFmtId="0" fontId="2" fillId="0" borderId="14" xfId="0" applyFont="1" applyBorder="1" applyAlignment="1">
      <alignment horizontal="left"/>
    </xf>
    <xf numFmtId="0" fontId="2" fillId="0" borderId="12" xfId="0" applyFont="1" applyBorder="1" applyAlignment="1">
      <alignment horizontal="left"/>
    </xf>
    <xf numFmtId="169" fontId="36" fillId="0" borderId="0" xfId="0" applyNumberFormat="1" applyFont="1" applyAlignment="1">
      <alignment horizontal="right"/>
    </xf>
    <xf numFmtId="169" fontId="36" fillId="0" borderId="12" xfId="0" applyNumberFormat="1" applyFont="1" applyBorder="1" applyAlignment="1">
      <alignment horizontal="right"/>
    </xf>
    <xf numFmtId="185" fontId="53" fillId="0" borderId="0" xfId="0" quotePrefix="1" applyNumberFormat="1" applyFont="1" applyAlignment="1">
      <alignment horizontal="right"/>
    </xf>
    <xf numFmtId="3" fontId="0" fillId="0" borderId="0" xfId="0" applyNumberFormat="1"/>
    <xf numFmtId="166" fontId="24" fillId="0" borderId="11" xfId="0" applyNumberFormat="1" applyFont="1" applyBorder="1" applyAlignment="1">
      <alignment horizontal="left" vertical="center"/>
    </xf>
    <xf numFmtId="0" fontId="0" fillId="0" borderId="27" xfId="0" applyBorder="1"/>
    <xf numFmtId="3" fontId="72" fillId="0" borderId="0" xfId="0" applyNumberFormat="1" applyFont="1"/>
    <xf numFmtId="181" fontId="42" fillId="0" borderId="0" xfId="4" applyNumberFormat="1" applyFont="1" applyBorder="1" applyAlignment="1">
      <alignment horizontal="center"/>
    </xf>
    <xf numFmtId="181" fontId="42" fillId="0" borderId="11" xfId="4" applyNumberFormat="1" applyFont="1" applyBorder="1" applyAlignment="1">
      <alignment horizontal="center"/>
    </xf>
    <xf numFmtId="173" fontId="42" fillId="0" borderId="0" xfId="4" applyNumberFormat="1" applyFont="1" applyAlignment="1">
      <alignment horizontal="center"/>
    </xf>
    <xf numFmtId="173" fontId="42" fillId="0" borderId="28" xfId="4" applyNumberFormat="1" applyFont="1" applyBorder="1" applyAlignment="1">
      <alignment horizontal="center"/>
    </xf>
    <xf numFmtId="9" fontId="42" fillId="0" borderId="0" xfId="4" applyFont="1" applyAlignment="1">
      <alignment horizontal="center"/>
    </xf>
    <xf numFmtId="9" fontId="42" fillId="0" borderId="17" xfId="4" applyFont="1" applyBorder="1" applyAlignment="1">
      <alignment horizontal="center"/>
    </xf>
    <xf numFmtId="9" fontId="42" fillId="0" borderId="11" xfId="4" applyFont="1" applyBorder="1" applyAlignment="1">
      <alignment horizontal="center"/>
    </xf>
    <xf numFmtId="9" fontId="42" fillId="0" borderId="26" xfId="4" applyFont="1" applyBorder="1" applyAlignment="1">
      <alignment horizontal="center"/>
    </xf>
    <xf numFmtId="169" fontId="42" fillId="0" borderId="0" xfId="4" applyNumberFormat="1" applyFont="1" applyAlignment="1">
      <alignment horizontal="center"/>
    </xf>
    <xf numFmtId="169" fontId="42" fillId="0" borderId="28" xfId="4" applyNumberFormat="1" applyFont="1" applyBorder="1" applyAlignment="1">
      <alignment horizontal="center"/>
    </xf>
    <xf numFmtId="173" fontId="42" fillId="0" borderId="0" xfId="0" applyNumberFormat="1" applyFont="1" applyAlignment="1">
      <alignment horizontal="left"/>
    </xf>
    <xf numFmtId="169" fontId="42" fillId="0" borderId="17" xfId="4" applyNumberFormat="1" applyFont="1" applyBorder="1" applyAlignment="1">
      <alignment horizontal="left"/>
    </xf>
    <xf numFmtId="173" fontId="42" fillId="0" borderId="11" xfId="0" applyNumberFormat="1" applyFont="1" applyBorder="1" applyAlignment="1">
      <alignment horizontal="left"/>
    </xf>
    <xf numFmtId="169" fontId="42" fillId="0" borderId="26" xfId="4" applyNumberFormat="1" applyFont="1" applyBorder="1" applyAlignment="1">
      <alignment horizontal="left"/>
    </xf>
    <xf numFmtId="0" fontId="42" fillId="0" borderId="11" xfId="0" applyFont="1" applyBorder="1" applyAlignment="1">
      <alignment horizontal="left"/>
    </xf>
    <xf numFmtId="179" fontId="2" fillId="3" borderId="11" xfId="0" applyNumberFormat="1" applyFont="1" applyFill="1" applyBorder="1" applyAlignment="1">
      <alignment horizontal="right"/>
    </xf>
    <xf numFmtId="0" fontId="32" fillId="2" borderId="0" xfId="0" applyFont="1" applyFill="1" applyAlignment="1">
      <alignment horizontal="centerContinuous"/>
    </xf>
    <xf numFmtId="170" fontId="29" fillId="0" borderId="18" xfId="4" applyNumberFormat="1" applyFont="1" applyBorder="1" applyAlignment="1">
      <alignment horizontal="right"/>
    </xf>
    <xf numFmtId="4" fontId="2" fillId="0" borderId="0" xfId="0" applyNumberFormat="1" applyFont="1"/>
    <xf numFmtId="170" fontId="26" fillId="0" borderId="0" xfId="4" applyNumberFormat="1" applyFont="1" applyBorder="1" applyAlignment="1">
      <alignment horizontal="right"/>
    </xf>
    <xf numFmtId="170" fontId="2" fillId="0" borderId="0" xfId="4" applyNumberFormat="1" applyFont="1" applyAlignment="1">
      <alignment horizontal="right"/>
    </xf>
    <xf numFmtId="170" fontId="2" fillId="0" borderId="0" xfId="4" applyNumberFormat="1" applyFont="1" applyBorder="1" applyAlignment="1">
      <alignment horizontal="right"/>
    </xf>
    <xf numFmtId="170" fontId="42" fillId="0" borderId="13" xfId="4" applyNumberFormat="1" applyFont="1" applyBorder="1" applyAlignment="1">
      <alignment horizontal="right"/>
    </xf>
    <xf numFmtId="170" fontId="42" fillId="0" borderId="14" xfId="4" applyNumberFormat="1" applyFont="1" applyBorder="1" applyAlignment="1">
      <alignment horizontal="right"/>
    </xf>
    <xf numFmtId="170" fontId="42" fillId="0" borderId="15" xfId="4" applyNumberFormat="1" applyFont="1" applyBorder="1" applyAlignment="1">
      <alignment horizontal="right"/>
    </xf>
    <xf numFmtId="170" fontId="42" fillId="0" borderId="16" xfId="4" applyNumberFormat="1" applyFont="1" applyBorder="1" applyAlignment="1">
      <alignment horizontal="right"/>
    </xf>
    <xf numFmtId="170" fontId="42" fillId="0" borderId="0" xfId="4" applyNumberFormat="1" applyFont="1" applyAlignment="1">
      <alignment horizontal="right"/>
    </xf>
    <xf numFmtId="170" fontId="42" fillId="0" borderId="17" xfId="4" applyNumberFormat="1" applyFont="1" applyBorder="1" applyAlignment="1">
      <alignment horizontal="right"/>
    </xf>
    <xf numFmtId="170" fontId="42" fillId="0" borderId="14" xfId="4" applyNumberFormat="1" applyFont="1" applyBorder="1"/>
    <xf numFmtId="10" fontId="42" fillId="0" borderId="14" xfId="4" applyNumberFormat="1" applyFont="1" applyBorder="1"/>
    <xf numFmtId="10" fontId="42" fillId="0" borderId="0" xfId="4" applyNumberFormat="1" applyFont="1"/>
    <xf numFmtId="10" fontId="42" fillId="0" borderId="0" xfId="4" applyNumberFormat="1" applyFont="1" applyBorder="1"/>
    <xf numFmtId="10" fontId="42" fillId="0" borderId="12" xfId="4" applyNumberFormat="1" applyFont="1" applyBorder="1"/>
    <xf numFmtId="169" fontId="12" fillId="0" borderId="0" xfId="0" applyNumberFormat="1" applyFont="1" applyAlignment="1">
      <alignment horizontal="left"/>
    </xf>
    <xf numFmtId="0" fontId="76" fillId="0" borderId="0" xfId="0" applyFont="1"/>
    <xf numFmtId="0" fontId="77" fillId="0" borderId="0" xfId="0" applyFont="1"/>
    <xf numFmtId="169" fontId="76" fillId="0" borderId="0" xfId="0" applyNumberFormat="1" applyFont="1" applyAlignment="1">
      <alignment horizontal="left"/>
    </xf>
    <xf numFmtId="169" fontId="76" fillId="0" borderId="0" xfId="0" applyNumberFormat="1" applyFont="1" applyAlignment="1">
      <alignment horizontal="right"/>
    </xf>
    <xf numFmtId="173" fontId="76" fillId="0" borderId="0" xfId="0" applyNumberFormat="1" applyFont="1" applyAlignment="1">
      <alignment horizontal="left"/>
    </xf>
    <xf numFmtId="169" fontId="76" fillId="0" borderId="17" xfId="4" applyNumberFormat="1" applyFont="1" applyBorder="1" applyAlignment="1">
      <alignment horizontal="left"/>
    </xf>
    <xf numFmtId="169" fontId="76" fillId="0" borderId="0" xfId="4" applyNumberFormat="1" applyFont="1" applyAlignment="1">
      <alignment horizontal="center"/>
    </xf>
    <xf numFmtId="9" fontId="76" fillId="0" borderId="0" xfId="4" applyFont="1" applyAlignment="1">
      <alignment horizontal="center"/>
    </xf>
    <xf numFmtId="9" fontId="76" fillId="0" borderId="17" xfId="4" applyFont="1" applyBorder="1" applyAlignment="1">
      <alignment horizontal="center"/>
    </xf>
    <xf numFmtId="173" fontId="76" fillId="0" borderId="0" xfId="4" applyNumberFormat="1" applyFont="1" applyAlignment="1">
      <alignment horizontal="center"/>
    </xf>
    <xf numFmtId="181" fontId="76" fillId="0" borderId="0" xfId="4" applyNumberFormat="1" applyFont="1" applyBorder="1" applyAlignment="1">
      <alignment horizontal="center"/>
    </xf>
    <xf numFmtId="169" fontId="45" fillId="0" borderId="0" xfId="0" applyNumberFormat="1" applyFont="1" applyAlignment="1">
      <alignment horizontal="center"/>
    </xf>
    <xf numFmtId="181" fontId="78" fillId="0" borderId="17" xfId="4" applyNumberFormat="1" applyFont="1" applyBorder="1" applyAlignment="1">
      <alignment horizontal="center"/>
    </xf>
    <xf numFmtId="181" fontId="78" fillId="0" borderId="0" xfId="4" applyNumberFormat="1" applyFont="1" applyBorder="1" applyAlignment="1">
      <alignment horizontal="center"/>
    </xf>
    <xf numFmtId="0" fontId="76" fillId="0" borderId="0" xfId="0" applyFont="1" applyAlignment="1">
      <alignment horizontal="left"/>
    </xf>
    <xf numFmtId="181" fontId="43" fillId="0" borderId="0" xfId="5" applyNumberFormat="1" applyFont="1" applyFill="1" applyBorder="1" applyAlignment="1">
      <alignment horizontal="right" vertical="center"/>
    </xf>
    <xf numFmtId="181" fontId="60" fillId="0" borderId="0" xfId="0" applyNumberFormat="1" applyFont="1" applyAlignment="1">
      <alignment horizontal="right" vertical="center"/>
    </xf>
    <xf numFmtId="9" fontId="6" fillId="0" borderId="0" xfId="4" applyFont="1" applyFill="1" applyAlignment="1">
      <alignment vertical="center"/>
    </xf>
    <xf numFmtId="166" fontId="4" fillId="0" borderId="0" xfId="0" applyNumberFormat="1" applyFont="1" applyAlignment="1">
      <alignment horizontal="right"/>
    </xf>
    <xf numFmtId="191" fontId="27" fillId="0" borderId="0" xfId="0" applyNumberFormat="1" applyFont="1" applyAlignment="1">
      <alignment horizontal="center"/>
    </xf>
    <xf numFmtId="9" fontId="6" fillId="0" borderId="0" xfId="4" applyFont="1" applyBorder="1" applyAlignment="1">
      <alignment horizontal="center"/>
    </xf>
    <xf numFmtId="0" fontId="4" fillId="0" borderId="0" xfId="0" applyFont="1" applyAlignment="1">
      <alignment horizontal="centerContinuous"/>
    </xf>
    <xf numFmtId="166" fontId="4" fillId="0" borderId="19" xfId="0" applyNumberFormat="1" applyFont="1" applyBorder="1" applyAlignment="1">
      <alignment horizontal="left"/>
    </xf>
    <xf numFmtId="166" fontId="2" fillId="0" borderId="0" xfId="0" applyNumberFormat="1" applyFont="1" applyAlignment="1">
      <alignment horizontal="left"/>
    </xf>
    <xf numFmtId="166" fontId="4" fillId="0" borderId="0" xfId="0" applyNumberFormat="1" applyFont="1" applyAlignment="1">
      <alignment horizontal="left"/>
    </xf>
    <xf numFmtId="166" fontId="4" fillId="0" borderId="12" xfId="0" applyNumberFormat="1" applyFont="1" applyBorder="1" applyAlignment="1">
      <alignment horizontal="left"/>
    </xf>
    <xf numFmtId="9" fontId="42" fillId="0" borderId="0" xfId="4" applyFont="1" applyBorder="1" applyAlignment="1">
      <alignment horizontal="center"/>
    </xf>
    <xf numFmtId="9" fontId="27" fillId="0" borderId="0" xfId="4" applyFont="1" applyFill="1" applyBorder="1" applyAlignment="1">
      <alignment horizontal="center" vertical="center"/>
    </xf>
    <xf numFmtId="9" fontId="6" fillId="0" borderId="0" xfId="4" applyFont="1" applyFill="1" applyBorder="1" applyAlignment="1">
      <alignment horizontal="center" vertical="center"/>
    </xf>
    <xf numFmtId="9" fontId="80" fillId="0" borderId="0" xfId="4" applyFont="1" applyFill="1" applyBorder="1" applyAlignment="1">
      <alignment horizontal="center" vertical="center"/>
    </xf>
    <xf numFmtId="0" fontId="2" fillId="0" borderId="17" xfId="0" applyFont="1" applyBorder="1" applyAlignment="1">
      <alignment horizontal="centerContinuous"/>
    </xf>
    <xf numFmtId="9" fontId="42" fillId="0" borderId="17" xfId="4" applyFont="1" applyFill="1" applyBorder="1" applyAlignment="1">
      <alignment horizontal="center" vertical="center"/>
    </xf>
    <xf numFmtId="166" fontId="2" fillId="0" borderId="12" xfId="0" applyNumberFormat="1" applyFont="1" applyBorder="1" applyAlignment="1">
      <alignment horizontal="left"/>
    </xf>
    <xf numFmtId="9" fontId="42" fillId="0" borderId="12" xfId="4" applyFont="1" applyBorder="1" applyAlignment="1">
      <alignment horizontal="center"/>
    </xf>
    <xf numFmtId="9" fontId="42" fillId="0" borderId="19" xfId="4" applyFont="1" applyFill="1" applyBorder="1" applyAlignment="1">
      <alignment horizontal="center" vertical="center"/>
    </xf>
    <xf numFmtId="9" fontId="42" fillId="0" borderId="14" xfId="4" applyFont="1" applyFill="1" applyBorder="1" applyAlignment="1">
      <alignment horizontal="center" vertical="center"/>
    </xf>
    <xf numFmtId="9" fontId="42" fillId="0" borderId="0" xfId="4" applyFont="1" applyFill="1" applyBorder="1" applyAlignment="1">
      <alignment horizontal="center" vertical="center"/>
    </xf>
    <xf numFmtId="0" fontId="4" fillId="0" borderId="0" xfId="0" applyFont="1" applyAlignment="1">
      <alignment horizontal="center" vertical="center"/>
    </xf>
    <xf numFmtId="0" fontId="4" fillId="0" borderId="17" xfId="0" applyFont="1" applyBorder="1" applyAlignment="1">
      <alignment horizontal="center" vertical="center"/>
    </xf>
    <xf numFmtId="166" fontId="4" fillId="0" borderId="0" xfId="0" applyNumberFormat="1" applyFont="1" applyAlignment="1">
      <alignment horizontal="center" vertical="center"/>
    </xf>
    <xf numFmtId="0" fontId="4" fillId="0" borderId="12" xfId="0" applyFont="1" applyBorder="1" applyAlignment="1">
      <alignment horizontal="center" vertical="center"/>
    </xf>
    <xf numFmtId="0" fontId="4" fillId="0" borderId="19" xfId="0" applyFont="1" applyBorder="1" applyAlignment="1">
      <alignment horizontal="center" vertical="center"/>
    </xf>
    <xf numFmtId="166" fontId="4" fillId="0" borderId="12" xfId="0" applyNumberFormat="1" applyFont="1" applyBorder="1" applyAlignment="1">
      <alignment horizontal="center" vertical="center"/>
    </xf>
    <xf numFmtId="0" fontId="2" fillId="0" borderId="0" xfId="0" applyFont="1" applyAlignment="1">
      <alignment horizontal="center" vertical="center"/>
    </xf>
    <xf numFmtId="0" fontId="2" fillId="0" borderId="16" xfId="0" applyFont="1" applyBorder="1" applyAlignment="1">
      <alignment horizontal="center" vertical="center"/>
    </xf>
    <xf numFmtId="0" fontId="4" fillId="0" borderId="18" xfId="0" applyFont="1" applyBorder="1" applyAlignment="1">
      <alignment horizontal="center" vertical="center"/>
    </xf>
    <xf numFmtId="173" fontId="2" fillId="0" borderId="27" xfId="0" applyNumberFormat="1" applyFont="1" applyBorder="1" applyAlignment="1">
      <alignment horizontal="right" vertical="center"/>
    </xf>
    <xf numFmtId="169" fontId="2" fillId="0" borderId="11" xfId="0" applyNumberFormat="1" applyFont="1" applyBorder="1" applyAlignment="1">
      <alignment horizontal="right" vertical="center"/>
    </xf>
    <xf numFmtId="0" fontId="71" fillId="0" borderId="27" xfId="0" applyFont="1" applyBorder="1" applyAlignment="1">
      <alignment vertical="center"/>
    </xf>
    <xf numFmtId="0" fontId="0" fillId="0" borderId="11" xfId="0" applyBorder="1" applyAlignment="1">
      <alignment vertical="center"/>
    </xf>
    <xf numFmtId="192" fontId="27" fillId="0" borderId="0" xfId="0" applyNumberFormat="1" applyFont="1" applyAlignment="1">
      <alignment horizontal="right"/>
    </xf>
    <xf numFmtId="192" fontId="6" fillId="0" borderId="12" xfId="0" applyNumberFormat="1" applyFont="1" applyBorder="1" applyAlignment="1">
      <alignment horizontal="center"/>
    </xf>
    <xf numFmtId="192" fontId="6" fillId="0" borderId="18" xfId="0" applyNumberFormat="1" applyFont="1" applyBorder="1" applyAlignment="1">
      <alignment horizontal="center"/>
    </xf>
    <xf numFmtId="192" fontId="2" fillId="0" borderId="0" xfId="0" applyNumberFormat="1" applyFont="1" applyAlignment="1">
      <alignment horizontal="center"/>
    </xf>
    <xf numFmtId="9" fontId="2" fillId="0" borderId="0" xfId="0" applyNumberFormat="1" applyFont="1" applyAlignment="1">
      <alignment horizontal="centerContinuous"/>
    </xf>
    <xf numFmtId="9" fontId="27" fillId="0" borderId="0" xfId="4" applyFont="1" applyFill="1" applyAlignment="1">
      <alignment horizontal="centerContinuous" vertical="center"/>
    </xf>
    <xf numFmtId="191" fontId="27" fillId="0" borderId="0" xfId="0" applyNumberFormat="1" applyFont="1" applyAlignment="1">
      <alignment horizontal="centerContinuous"/>
    </xf>
    <xf numFmtId="191" fontId="27" fillId="0" borderId="12" xfId="0" applyNumberFormat="1" applyFont="1" applyBorder="1" applyAlignment="1">
      <alignment horizontal="centerContinuous"/>
    </xf>
    <xf numFmtId="0" fontId="12" fillId="0" borderId="0" xfId="0" applyFont="1" applyAlignment="1">
      <alignment horizontal="centerContinuous" wrapText="1"/>
    </xf>
    <xf numFmtId="9" fontId="34" fillId="3" borderId="0" xfId="4" applyFont="1" applyFill="1" applyBorder="1" applyAlignment="1">
      <alignment horizontal="centerContinuous"/>
    </xf>
    <xf numFmtId="9" fontId="27" fillId="0" borderId="14" xfId="4" applyFont="1" applyFill="1" applyBorder="1" applyAlignment="1">
      <alignment horizontal="center" vertical="center"/>
    </xf>
    <xf numFmtId="192" fontId="6" fillId="0" borderId="0" xfId="0" applyNumberFormat="1" applyFont="1" applyAlignment="1">
      <alignment horizontal="right"/>
    </xf>
    <xf numFmtId="0" fontId="75" fillId="6" borderId="56" xfId="0" applyFont="1" applyFill="1" applyBorder="1" applyAlignment="1">
      <alignment horizontal="centerContinuous"/>
    </xf>
    <xf numFmtId="191" fontId="75" fillId="6" borderId="57" xfId="0" applyNumberFormat="1" applyFont="1" applyFill="1" applyBorder="1" applyAlignment="1">
      <alignment horizontal="centerContinuous"/>
    </xf>
    <xf numFmtId="0" fontId="75" fillId="7" borderId="0" xfId="0" applyFont="1" applyFill="1" applyAlignment="1">
      <alignment horizontal="centerContinuous"/>
    </xf>
    <xf numFmtId="0" fontId="75" fillId="7" borderId="59" xfId="0" applyFont="1" applyFill="1" applyBorder="1" applyAlignment="1">
      <alignment horizontal="centerContinuous"/>
    </xf>
    <xf numFmtId="0" fontId="4" fillId="8" borderId="0" xfId="0" applyFont="1" applyFill="1" applyAlignment="1">
      <alignment horizontal="centerContinuous"/>
    </xf>
    <xf numFmtId="0" fontId="4" fillId="8" borderId="59" xfId="0" applyFont="1" applyFill="1" applyBorder="1" applyAlignment="1">
      <alignment horizontal="centerContinuous"/>
    </xf>
    <xf numFmtId="0" fontId="75" fillId="9" borderId="0" xfId="0" applyFont="1" applyFill="1" applyAlignment="1">
      <alignment horizontal="centerContinuous"/>
    </xf>
    <xf numFmtId="0" fontId="75" fillId="9" borderId="59" xfId="0" applyFont="1" applyFill="1" applyBorder="1" applyAlignment="1">
      <alignment horizontal="centerContinuous"/>
    </xf>
    <xf numFmtId="0" fontId="75" fillId="10" borderId="61" xfId="0" applyFont="1" applyFill="1" applyBorder="1" applyAlignment="1">
      <alignment horizontal="centerContinuous"/>
    </xf>
    <xf numFmtId="0" fontId="75" fillId="10" borderId="62" xfId="0" applyFont="1" applyFill="1" applyBorder="1" applyAlignment="1">
      <alignment horizontal="centerContinuous"/>
    </xf>
    <xf numFmtId="170" fontId="2" fillId="0" borderId="12" xfId="4" applyNumberFormat="1" applyFont="1" applyBorder="1" applyAlignment="1">
      <alignment horizontal="right"/>
    </xf>
    <xf numFmtId="0" fontId="4" fillId="0" borderId="12" xfId="0" applyFont="1" applyBorder="1" applyAlignment="1">
      <alignment horizontal="left"/>
    </xf>
    <xf numFmtId="166" fontId="10" fillId="0" borderId="0" xfId="0" applyNumberFormat="1" applyFont="1" applyAlignment="1">
      <alignment horizontal="left" vertical="center"/>
    </xf>
    <xf numFmtId="192" fontId="2" fillId="0" borderId="0" xfId="0" applyNumberFormat="1" applyFont="1"/>
    <xf numFmtId="192" fontId="2" fillId="0" borderId="0" xfId="0" applyNumberFormat="1" applyFont="1" applyAlignment="1">
      <alignment horizontal="right"/>
    </xf>
    <xf numFmtId="166" fontId="7" fillId="0" borderId="0" xfId="0" applyNumberFormat="1" applyFont="1" applyAlignment="1">
      <alignment horizontal="left" vertical="center"/>
    </xf>
    <xf numFmtId="193" fontId="2" fillId="0" borderId="0" xfId="0" applyNumberFormat="1" applyFont="1"/>
    <xf numFmtId="0" fontId="4" fillId="0" borderId="0" xfId="4" applyNumberFormat="1" applyFont="1"/>
    <xf numFmtId="0" fontId="75" fillId="6" borderId="56" xfId="0" applyFont="1" applyFill="1" applyBorder="1" applyAlignment="1">
      <alignment horizontal="center" vertical="center"/>
    </xf>
    <xf numFmtId="0" fontId="75" fillId="7" borderId="0" xfId="0" applyFont="1" applyFill="1" applyAlignment="1">
      <alignment horizontal="center" vertical="center"/>
    </xf>
    <xf numFmtId="0" fontId="4" fillId="8" borderId="0" xfId="0" applyFont="1" applyFill="1" applyAlignment="1">
      <alignment horizontal="center" vertical="center"/>
    </xf>
    <xf numFmtId="0" fontId="75" fillId="9" borderId="0" xfId="0" applyFont="1" applyFill="1" applyAlignment="1">
      <alignment horizontal="center" vertical="center"/>
    </xf>
    <xf numFmtId="0" fontId="75" fillId="10" borderId="61" xfId="0" applyFont="1" applyFill="1" applyBorder="1" applyAlignment="1">
      <alignment horizontal="center" vertical="center"/>
    </xf>
    <xf numFmtId="0" fontId="75" fillId="6" borderId="55" xfId="0" applyFont="1" applyFill="1" applyBorder="1" applyAlignment="1">
      <alignment horizontal="centerContinuous" vertical="center"/>
    </xf>
    <xf numFmtId="0" fontId="75" fillId="6" borderId="56" xfId="0" applyFont="1" applyFill="1" applyBorder="1" applyAlignment="1">
      <alignment horizontal="centerContinuous" vertical="center"/>
    </xf>
    <xf numFmtId="0" fontId="75" fillId="7" borderId="58" xfId="0" applyFont="1" applyFill="1" applyBorder="1" applyAlignment="1">
      <alignment horizontal="centerContinuous" vertical="center"/>
    </xf>
    <xf numFmtId="0" fontId="75" fillId="7" borderId="0" xfId="0" applyFont="1" applyFill="1" applyAlignment="1">
      <alignment horizontal="centerContinuous" vertical="center"/>
    </xf>
    <xf numFmtId="0" fontId="4" fillId="8" borderId="58" xfId="0" applyFont="1" applyFill="1" applyBorder="1" applyAlignment="1">
      <alignment horizontal="centerContinuous" vertical="center"/>
    </xf>
    <xf numFmtId="0" fontId="4" fillId="8" borderId="0" xfId="0" applyFont="1" applyFill="1" applyAlignment="1">
      <alignment horizontal="centerContinuous" vertical="center"/>
    </xf>
    <xf numFmtId="0" fontId="75" fillId="9" borderId="58" xfId="0" applyFont="1" applyFill="1" applyBorder="1" applyAlignment="1">
      <alignment horizontal="centerContinuous" vertical="center"/>
    </xf>
    <xf numFmtId="0" fontId="75" fillId="9" borderId="0" xfId="0" applyFont="1" applyFill="1" applyAlignment="1">
      <alignment horizontal="centerContinuous" vertical="center"/>
    </xf>
    <xf numFmtId="0" fontId="75" fillId="10" borderId="60" xfId="0" applyFont="1" applyFill="1" applyBorder="1" applyAlignment="1">
      <alignment horizontal="centerContinuous" vertical="center"/>
    </xf>
    <xf numFmtId="0" fontId="75" fillId="10" borderId="61" xfId="0" applyFont="1" applyFill="1" applyBorder="1" applyAlignment="1">
      <alignment horizontal="centerContinuous" vertical="center"/>
    </xf>
    <xf numFmtId="0" fontId="43" fillId="0" borderId="0" xfId="0" applyFont="1" applyAlignment="1">
      <alignment horizontal="right" vertical="center" textRotation="90"/>
    </xf>
    <xf numFmtId="0" fontId="10" fillId="0" borderId="0" xfId="0" applyNumberFormat="1" applyFont="1" applyAlignment="1">
      <alignment horizontal="right" vertical="center"/>
    </xf>
  </cellXfs>
  <cellStyles count="8">
    <cellStyle name="Comma" xfId="1" builtinId="3"/>
    <cellStyle name="Comma 2" xfId="5" xr:uid="{C96FCA4D-249B-9C44-BC5C-E8CD07FAA51E}"/>
    <cellStyle name="Hyperlink" xfId="2" builtinId="8"/>
    <cellStyle name="Hyperlink 2 2" xfId="7" xr:uid="{CEE69243-25C2-8B48-9640-6C4435DF0A40}"/>
    <cellStyle name="Normal" xfId="0" builtinId="0"/>
    <cellStyle name="Normal 2 2 2" xfId="3" xr:uid="{1BB25C61-9FE1-9C41-9E9E-636E6E46FDA7}"/>
    <cellStyle name="Normal_Master Junior Database v2" xfId="6" xr:uid="{E645FBEF-933C-6C48-B0F5-BF881A545C92}"/>
    <cellStyle name="Per cent" xfId="4" builtinId="5"/>
  </cellStyles>
  <dxfs count="1">
    <dxf>
      <border>
        <left style="thin">
          <color rgb="FF9C0006"/>
        </left>
        <right style="thin">
          <color rgb="FF9C0006"/>
        </right>
        <top style="thin">
          <color rgb="FF9C0006"/>
        </top>
        <bottom style="thin">
          <color rgb="FF9C0006"/>
        </bottom>
      </border>
    </dxf>
  </dxfs>
  <tableStyles count="0" defaultTableStyle="TableStyleMedium2" defaultPivotStyle="PivotStyleLight16"/>
  <colors>
    <mruColors>
      <color rgb="FF0F228C"/>
      <color rgb="FF1F77B4"/>
      <color rgb="FFF28E2B"/>
      <color rgb="FF4F81BD"/>
      <color rgb="FFBFBFBF"/>
      <color rgb="FFEA7131"/>
      <color rgb="FF4C93D9"/>
      <color rgb="FF45A9C9"/>
      <color rgb="FF4DA72E"/>
      <color rgb="FFD86B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02917734783567"/>
          <c:y val="0.11494971400294005"/>
          <c:w val="0.76762868213496627"/>
          <c:h val="0.77784941854541745"/>
        </c:manualLayout>
      </c:layout>
      <c:barChart>
        <c:barDir val="col"/>
        <c:grouping val="clustered"/>
        <c:varyColors val="0"/>
        <c:ser>
          <c:idx val="0"/>
          <c:order val="0"/>
          <c:tx>
            <c:strRef>
              <c:f>Summary!$B$24</c:f>
              <c:strCache>
                <c:ptCount val="1"/>
                <c:pt idx="0">
                  <c:v>Revenue</c:v>
                </c:pt>
              </c:strCache>
            </c:strRef>
          </c:tx>
          <c:spPr>
            <a:solidFill>
              <a:srgbClr val="0F238C"/>
            </a:solidFill>
            <a:ln>
              <a:noFill/>
            </a:ln>
            <a:effectLst/>
          </c:spPr>
          <c:invertIfNegative val="0"/>
          <c:dPt>
            <c:idx val="0"/>
            <c:invertIfNegative val="0"/>
            <c:bubble3D val="0"/>
            <c:spPr>
              <a:solidFill>
                <a:srgbClr val="38489B"/>
              </a:solidFill>
              <a:ln>
                <a:noFill/>
              </a:ln>
              <a:effectLst/>
            </c:spPr>
            <c:extLst>
              <c:ext xmlns:c16="http://schemas.microsoft.com/office/drawing/2014/chart" uri="{C3380CC4-5D6E-409C-BE32-E72D297353CC}">
                <c16:uniqueId val="{0000000E-9100-AA46-834F-A03A0A3DF65E}"/>
              </c:ext>
            </c:extLst>
          </c:dPt>
          <c:dPt>
            <c:idx val="1"/>
            <c:invertIfNegative val="0"/>
            <c:bubble3D val="0"/>
            <c:spPr>
              <a:solidFill>
                <a:srgbClr val="38489B"/>
              </a:solidFill>
              <a:ln>
                <a:noFill/>
              </a:ln>
              <a:effectLst/>
            </c:spPr>
            <c:extLst>
              <c:ext xmlns:c16="http://schemas.microsoft.com/office/drawing/2014/chart" uri="{C3380CC4-5D6E-409C-BE32-E72D297353CC}">
                <c16:uniqueId val="{0000000D-9100-AA46-834F-A03A0A3DF65E}"/>
              </c:ext>
            </c:extLst>
          </c:dPt>
          <c:dPt>
            <c:idx val="2"/>
            <c:invertIfNegative val="0"/>
            <c:bubble3D val="0"/>
            <c:spPr>
              <a:solidFill>
                <a:srgbClr val="38489B"/>
              </a:solidFill>
              <a:ln>
                <a:noFill/>
              </a:ln>
              <a:effectLst/>
            </c:spPr>
            <c:extLst>
              <c:ext xmlns:c16="http://schemas.microsoft.com/office/drawing/2014/chart" uri="{C3380CC4-5D6E-409C-BE32-E72D297353CC}">
                <c16:uniqueId val="{0000000C-9100-AA46-834F-A03A0A3DF65E}"/>
              </c:ext>
            </c:extLst>
          </c:dPt>
          <c:dPt>
            <c:idx val="3"/>
            <c:invertIfNegative val="0"/>
            <c:bubble3D val="0"/>
            <c:spPr>
              <a:solidFill>
                <a:srgbClr val="38489B"/>
              </a:solidFill>
              <a:ln>
                <a:noFill/>
              </a:ln>
              <a:effectLst/>
            </c:spPr>
            <c:extLst>
              <c:ext xmlns:c16="http://schemas.microsoft.com/office/drawing/2014/chart" uri="{C3380CC4-5D6E-409C-BE32-E72D297353CC}">
                <c16:uniqueId val="{0000000B-9100-AA46-834F-A03A0A3DF65E}"/>
              </c:ext>
            </c:extLst>
          </c:dPt>
          <c:dPt>
            <c:idx val="4"/>
            <c:invertIfNegative val="0"/>
            <c:bubble3D val="0"/>
            <c:spPr>
              <a:solidFill>
                <a:srgbClr val="38489B"/>
              </a:solidFill>
              <a:ln>
                <a:noFill/>
              </a:ln>
              <a:effectLst/>
            </c:spPr>
            <c:extLst>
              <c:ext xmlns:c16="http://schemas.microsoft.com/office/drawing/2014/chart" uri="{C3380CC4-5D6E-409C-BE32-E72D297353CC}">
                <c16:uniqueId val="{0000000A-9100-AA46-834F-A03A0A3DF65E}"/>
              </c:ext>
            </c:extLst>
          </c:dPt>
          <c:dPt>
            <c:idx val="5"/>
            <c:invertIfNegative val="0"/>
            <c:bubble3D val="0"/>
            <c:spPr>
              <a:solidFill>
                <a:srgbClr val="38489B"/>
              </a:solidFill>
              <a:ln>
                <a:noFill/>
              </a:ln>
              <a:effectLst/>
            </c:spPr>
            <c:extLst>
              <c:ext xmlns:c16="http://schemas.microsoft.com/office/drawing/2014/chart" uri="{C3380CC4-5D6E-409C-BE32-E72D297353CC}">
                <c16:uniqueId val="{00000009-9100-AA46-834F-A03A0A3DF65E}"/>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Summary!$E$24:$P$24</c:f>
              <c:numCache>
                <c:formatCode>_(#,##0_);\(#,##0\);_("–"_);_(@_)</c:formatCode>
                <c:ptCount val="12"/>
                <c:pt idx="0">
                  <c:v>11820</c:v>
                </c:pt>
                <c:pt idx="1">
                  <c:v>13978.5</c:v>
                </c:pt>
                <c:pt idx="2">
                  <c:v>18611</c:v>
                </c:pt>
                <c:pt idx="3">
                  <c:v>21173.4</c:v>
                </c:pt>
                <c:pt idx="4">
                  <c:v>27558.5</c:v>
                </c:pt>
                <c:pt idx="5">
                  <c:v>28262.9</c:v>
                </c:pt>
                <c:pt idx="6">
                  <c:v>33369.865684491982</c:v>
                </c:pt>
                <c:pt idx="7">
                  <c:v>38058.160173262033</c:v>
                </c:pt>
                <c:pt idx="8">
                  <c:v>41882.535679657223</c:v>
                </c:pt>
                <c:pt idx="9">
                  <c:v>46205.407440946183</c:v>
                </c:pt>
                <c:pt idx="10">
                  <c:v>51071.726850788938</c:v>
                </c:pt>
                <c:pt idx="11">
                  <c:v>53049.841730122265</c:v>
                </c:pt>
              </c:numCache>
            </c:numRef>
          </c:val>
          <c:extLst>
            <c:ext xmlns:c16="http://schemas.microsoft.com/office/drawing/2014/chart" uri="{C3380CC4-5D6E-409C-BE32-E72D297353CC}">
              <c16:uniqueId val="{00000000-9100-AA46-834F-A03A0A3DF65E}"/>
            </c:ext>
          </c:extLst>
        </c:ser>
        <c:dLbls>
          <c:showLegendKey val="0"/>
          <c:showVal val="0"/>
          <c:showCatName val="0"/>
          <c:showSerName val="0"/>
          <c:showPercent val="0"/>
          <c:showBubbleSize val="0"/>
        </c:dLbls>
        <c:gapWidth val="75"/>
        <c:axId val="635279256"/>
        <c:axId val="635280568"/>
      </c:barChart>
      <c:lineChart>
        <c:grouping val="standard"/>
        <c:varyColors val="0"/>
        <c:ser>
          <c:idx val="1"/>
          <c:order val="1"/>
          <c:tx>
            <c:v>EBITDA Margin</c:v>
          </c:tx>
          <c:spPr>
            <a:ln w="28575" cap="rnd" cmpd="sng" algn="ctr">
              <a:solidFill>
                <a:schemeClr val="accent2"/>
              </a:solidFill>
              <a:prstDash val="solid"/>
              <a:round/>
              <a:headEnd type="none" w="med" len="med"/>
              <a:tailEnd type="none" w="med" len="med"/>
            </a:ln>
            <a:effectLst/>
          </c:spPr>
          <c:marker>
            <c:symbol val="none"/>
          </c:marker>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Summary!$E$28:$P$28</c:f>
              <c:numCache>
                <c:formatCode>0%</c:formatCode>
                <c:ptCount val="12"/>
                <c:pt idx="0">
                  <c:v>0.29991539763113367</c:v>
                </c:pt>
                <c:pt idx="1">
                  <c:v>0.36929570411703694</c:v>
                </c:pt>
                <c:pt idx="2">
                  <c:v>0.42482940196657887</c:v>
                </c:pt>
                <c:pt idx="3">
                  <c:v>0.38713196746861622</c:v>
                </c:pt>
                <c:pt idx="4">
                  <c:v>0.38316308942794419</c:v>
                </c:pt>
                <c:pt idx="5">
                  <c:v>0.3940572269653857</c:v>
                </c:pt>
                <c:pt idx="6">
                  <c:v>0.42269635071749623</c:v>
                </c:pt>
                <c:pt idx="7">
                  <c:v>0.44492383744026809</c:v>
                </c:pt>
                <c:pt idx="8">
                  <c:v>0.45744124290252475</c:v>
                </c:pt>
                <c:pt idx="9">
                  <c:v>0.46987396528463671</c:v>
                </c:pt>
                <c:pt idx="10">
                  <c:v>0.4805316263835156</c:v>
                </c:pt>
                <c:pt idx="11">
                  <c:v>0.48084569911228919</c:v>
                </c:pt>
              </c:numCache>
            </c:numRef>
          </c:val>
          <c:smooth val="0"/>
          <c:extLst>
            <c:ext xmlns:c16="http://schemas.microsoft.com/office/drawing/2014/chart" uri="{C3380CC4-5D6E-409C-BE32-E72D297353CC}">
              <c16:uniqueId val="{00000001-9100-AA46-834F-A03A0A3DF65E}"/>
            </c:ext>
          </c:extLst>
        </c:ser>
        <c:ser>
          <c:idx val="2"/>
          <c:order val="2"/>
          <c:tx>
            <c:v>Net Income Margin</c:v>
          </c:tx>
          <c:spPr>
            <a:ln w="28575" cap="rnd">
              <a:solidFill>
                <a:schemeClr val="accent6"/>
              </a:solidFill>
              <a:round/>
            </a:ln>
            <a:effectLst/>
          </c:spPr>
          <c:marker>
            <c:symbol val="none"/>
          </c:marker>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Summary!$E$32:$P$32</c:f>
              <c:numCache>
                <c:formatCode>0%</c:formatCode>
                <c:ptCount val="12"/>
                <c:pt idx="0">
                  <c:v>0.2183671742808799</c:v>
                </c:pt>
                <c:pt idx="1">
                  <c:v>0.26446328289873744</c:v>
                </c:pt>
                <c:pt idx="2">
                  <c:v>0.32962226640159037</c:v>
                </c:pt>
                <c:pt idx="3">
                  <c:v>0.30206768870375089</c:v>
                </c:pt>
                <c:pt idx="4">
                  <c:v>0.29447176007402437</c:v>
                </c:pt>
                <c:pt idx="5">
                  <c:v>0.29540493013809621</c:v>
                </c:pt>
                <c:pt idx="6">
                  <c:v>0.29488969151173633</c:v>
                </c:pt>
                <c:pt idx="7">
                  <c:v>0.31294521560344168</c:v>
                </c:pt>
                <c:pt idx="8">
                  <c:v>0.32517377058311353</c:v>
                </c:pt>
                <c:pt idx="9">
                  <c:v>0.33818256651754947</c:v>
                </c:pt>
                <c:pt idx="10">
                  <c:v>0.35034228683743818</c:v>
                </c:pt>
                <c:pt idx="11">
                  <c:v>0.35831315098569355</c:v>
                </c:pt>
              </c:numCache>
            </c:numRef>
          </c:val>
          <c:smooth val="0"/>
          <c:extLst>
            <c:ext xmlns:c16="http://schemas.microsoft.com/office/drawing/2014/chart" uri="{C3380CC4-5D6E-409C-BE32-E72D297353CC}">
              <c16:uniqueId val="{00000002-9100-AA46-834F-A03A0A3DF65E}"/>
            </c:ext>
          </c:extLst>
        </c:ser>
        <c:dLbls>
          <c:showLegendKey val="0"/>
          <c:showVal val="0"/>
          <c:showCatName val="0"/>
          <c:showSerName val="0"/>
          <c:showPercent val="0"/>
          <c:showBubbleSize val="0"/>
        </c:dLbls>
        <c:marker val="1"/>
        <c:smooth val="0"/>
        <c:axId val="553547456"/>
        <c:axId val="405025360"/>
      </c:lineChart>
      <c:catAx>
        <c:axId val="635279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80568"/>
        <c:crosses val="autoZero"/>
        <c:auto val="1"/>
        <c:lblAlgn val="ctr"/>
        <c:lblOffset val="100"/>
        <c:noMultiLvlLbl val="0"/>
      </c:catAx>
      <c:valAx>
        <c:axId val="635280568"/>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79256"/>
        <c:crosses val="autoZero"/>
        <c:crossBetween val="between"/>
      </c:valAx>
      <c:valAx>
        <c:axId val="40502536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553547456"/>
        <c:crosses val="max"/>
        <c:crossBetween val="between"/>
      </c:valAx>
      <c:catAx>
        <c:axId val="553547456"/>
        <c:scaling>
          <c:orientation val="minMax"/>
        </c:scaling>
        <c:delete val="1"/>
        <c:axPos val="b"/>
        <c:numFmt formatCode="General" sourceLinked="1"/>
        <c:majorTickMark val="out"/>
        <c:minorTickMark val="none"/>
        <c:tickLblPos val="nextTo"/>
        <c:crossAx val="405025360"/>
        <c:crosses val="autoZero"/>
        <c:auto val="1"/>
        <c:lblAlgn val="ctr"/>
        <c:lblOffset val="100"/>
        <c:noMultiLvlLbl val="0"/>
      </c:catAx>
      <c:spPr>
        <a:noFill/>
        <a:ln>
          <a:noFill/>
        </a:ln>
        <a:effectLst/>
      </c:spPr>
    </c:plotArea>
    <c:legend>
      <c:legendPos val="t"/>
      <c:layout>
        <c:manualLayout>
          <c:xMode val="edge"/>
          <c:yMode val="edge"/>
          <c:x val="0.12333488497118543"/>
          <c:y val="5.0831792975970423E-2"/>
          <c:w val="0.76400777572706335"/>
          <c:h val="7.79451466404126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02917734783567"/>
          <c:y val="0.1020375223772628"/>
          <c:w val="0.8158215678085714"/>
          <c:h val="0.79714145480231369"/>
        </c:manualLayout>
      </c:layout>
      <c:barChart>
        <c:barDir val="col"/>
        <c:grouping val="stacked"/>
        <c:varyColors val="0"/>
        <c:ser>
          <c:idx val="1"/>
          <c:order val="0"/>
          <c:tx>
            <c:v>Investing</c:v>
          </c:tx>
          <c:spPr>
            <a:solidFill>
              <a:schemeClr val="accent2"/>
            </a:solidFill>
            <a:ln>
              <a:noFill/>
            </a:ln>
            <a:effectLst/>
          </c:spPr>
          <c:invertIfNegative val="0"/>
          <c:dPt>
            <c:idx val="0"/>
            <c:invertIfNegative val="0"/>
            <c:bubble3D val="0"/>
            <c:spPr>
              <a:solidFill>
                <a:srgbClr val="D86B42"/>
              </a:solidFill>
              <a:ln>
                <a:noFill/>
              </a:ln>
              <a:effectLst/>
            </c:spPr>
            <c:extLst>
              <c:ext xmlns:c16="http://schemas.microsoft.com/office/drawing/2014/chart" uri="{C3380CC4-5D6E-409C-BE32-E72D297353CC}">
                <c16:uniqueId val="{0000000C-3471-8648-926B-8F1CC9022965}"/>
              </c:ext>
            </c:extLst>
          </c:dPt>
          <c:dPt>
            <c:idx val="1"/>
            <c:invertIfNegative val="0"/>
            <c:bubble3D val="0"/>
            <c:spPr>
              <a:solidFill>
                <a:srgbClr val="D86B42"/>
              </a:solidFill>
              <a:ln>
                <a:noFill/>
              </a:ln>
              <a:effectLst/>
            </c:spPr>
            <c:extLst>
              <c:ext xmlns:c16="http://schemas.microsoft.com/office/drawing/2014/chart" uri="{C3380CC4-5D6E-409C-BE32-E72D297353CC}">
                <c16:uniqueId val="{0000000B-3471-8648-926B-8F1CC9022965}"/>
              </c:ext>
            </c:extLst>
          </c:dPt>
          <c:dPt>
            <c:idx val="2"/>
            <c:invertIfNegative val="0"/>
            <c:bubble3D val="0"/>
            <c:spPr>
              <a:solidFill>
                <a:srgbClr val="D86B42"/>
              </a:solidFill>
              <a:ln>
                <a:noFill/>
              </a:ln>
              <a:effectLst/>
            </c:spPr>
            <c:extLst>
              <c:ext xmlns:c16="http://schemas.microsoft.com/office/drawing/2014/chart" uri="{C3380CC4-5D6E-409C-BE32-E72D297353CC}">
                <c16:uniqueId val="{0000000A-3471-8648-926B-8F1CC9022965}"/>
              </c:ext>
            </c:extLst>
          </c:dPt>
          <c:dPt>
            <c:idx val="3"/>
            <c:invertIfNegative val="0"/>
            <c:bubble3D val="0"/>
            <c:spPr>
              <a:solidFill>
                <a:srgbClr val="D86B42"/>
              </a:solidFill>
              <a:ln>
                <a:noFill/>
              </a:ln>
              <a:effectLst/>
            </c:spPr>
            <c:extLst>
              <c:ext xmlns:c16="http://schemas.microsoft.com/office/drawing/2014/chart" uri="{C3380CC4-5D6E-409C-BE32-E72D297353CC}">
                <c16:uniqueId val="{00000009-3471-8648-926B-8F1CC9022965}"/>
              </c:ext>
            </c:extLst>
          </c:dPt>
          <c:dPt>
            <c:idx val="4"/>
            <c:invertIfNegative val="0"/>
            <c:bubble3D val="0"/>
            <c:spPr>
              <a:solidFill>
                <a:srgbClr val="D86B42"/>
              </a:solidFill>
              <a:ln>
                <a:noFill/>
              </a:ln>
              <a:effectLst/>
            </c:spPr>
            <c:extLst>
              <c:ext xmlns:c16="http://schemas.microsoft.com/office/drawing/2014/chart" uri="{C3380CC4-5D6E-409C-BE32-E72D297353CC}">
                <c16:uniqueId val="{00000008-3471-8648-926B-8F1CC9022965}"/>
              </c:ext>
            </c:extLst>
          </c:dPt>
          <c:dPt>
            <c:idx val="5"/>
            <c:invertIfNegative val="0"/>
            <c:bubble3D val="0"/>
            <c:spPr>
              <a:solidFill>
                <a:srgbClr val="D86B42"/>
              </a:solidFill>
              <a:ln>
                <a:noFill/>
              </a:ln>
              <a:effectLst/>
            </c:spPr>
            <c:extLst>
              <c:ext xmlns:c16="http://schemas.microsoft.com/office/drawing/2014/chart" uri="{C3380CC4-5D6E-409C-BE32-E72D297353CC}">
                <c16:uniqueId val="{00000007-3471-8648-926B-8F1CC9022965}"/>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Summary!$E$38:$P$38</c:f>
              <c:numCache>
                <c:formatCode>_(#,##0_);\(#,##0\);_("–"_);_(@_)</c:formatCode>
                <c:ptCount val="12"/>
                <c:pt idx="0">
                  <c:v>-1463.1</c:v>
                </c:pt>
                <c:pt idx="1">
                  <c:v>-1972.3000000000002</c:v>
                </c:pt>
                <c:pt idx="2">
                  <c:v>-757.4</c:v>
                </c:pt>
                <c:pt idx="3">
                  <c:v>-1922</c:v>
                </c:pt>
                <c:pt idx="4">
                  <c:v>-3634.6</c:v>
                </c:pt>
                <c:pt idx="5">
                  <c:v>-3731.8</c:v>
                </c:pt>
                <c:pt idx="6">
                  <c:v>-3770.685225294118</c:v>
                </c:pt>
                <c:pt idx="7">
                  <c:v>-3905.816017326204</c:v>
                </c:pt>
                <c:pt idx="8">
                  <c:v>-3869.42821116915</c:v>
                </c:pt>
                <c:pt idx="9">
                  <c:v>-3796.4325952756944</c:v>
                </c:pt>
                <c:pt idx="10">
                  <c:v>-3675.0208795552262</c:v>
                </c:pt>
                <c:pt idx="11">
                  <c:v>-3548.239712457947</c:v>
                </c:pt>
              </c:numCache>
            </c:numRef>
          </c:val>
          <c:extLst>
            <c:ext xmlns:c16="http://schemas.microsoft.com/office/drawing/2014/chart" uri="{C3380CC4-5D6E-409C-BE32-E72D297353CC}">
              <c16:uniqueId val="{00000000-9406-E243-BC38-FDC49FB81B86}"/>
            </c:ext>
          </c:extLst>
        </c:ser>
        <c:ser>
          <c:idx val="3"/>
          <c:order val="1"/>
          <c:tx>
            <c:v>Financing</c:v>
          </c:tx>
          <c:spPr>
            <a:solidFill>
              <a:schemeClr val="accent4"/>
            </a:solidFill>
            <a:ln>
              <a:noFill/>
            </a:ln>
            <a:effectLst/>
          </c:spPr>
          <c:invertIfNegative val="0"/>
          <c:dPt>
            <c:idx val="0"/>
            <c:invertIfNegative val="0"/>
            <c:bubble3D val="0"/>
            <c:spPr>
              <a:solidFill>
                <a:srgbClr val="46A9C8"/>
              </a:solidFill>
              <a:ln>
                <a:noFill/>
              </a:ln>
              <a:effectLst/>
            </c:spPr>
            <c:extLst>
              <c:ext xmlns:c16="http://schemas.microsoft.com/office/drawing/2014/chart" uri="{C3380CC4-5D6E-409C-BE32-E72D297353CC}">
                <c16:uniqueId val="{00000006-3471-8648-926B-8F1CC9022965}"/>
              </c:ext>
            </c:extLst>
          </c:dPt>
          <c:dPt>
            <c:idx val="1"/>
            <c:invertIfNegative val="0"/>
            <c:bubble3D val="0"/>
            <c:spPr>
              <a:solidFill>
                <a:srgbClr val="46A9C8"/>
              </a:solidFill>
              <a:ln>
                <a:noFill/>
              </a:ln>
              <a:effectLst/>
            </c:spPr>
            <c:extLst>
              <c:ext xmlns:c16="http://schemas.microsoft.com/office/drawing/2014/chart" uri="{C3380CC4-5D6E-409C-BE32-E72D297353CC}">
                <c16:uniqueId val="{00000005-3471-8648-926B-8F1CC9022965}"/>
              </c:ext>
            </c:extLst>
          </c:dPt>
          <c:dPt>
            <c:idx val="2"/>
            <c:invertIfNegative val="0"/>
            <c:bubble3D val="0"/>
            <c:spPr>
              <a:solidFill>
                <a:srgbClr val="46A9C8"/>
              </a:solidFill>
              <a:ln>
                <a:noFill/>
              </a:ln>
              <a:effectLst/>
            </c:spPr>
            <c:extLst>
              <c:ext xmlns:c16="http://schemas.microsoft.com/office/drawing/2014/chart" uri="{C3380CC4-5D6E-409C-BE32-E72D297353CC}">
                <c16:uniqueId val="{00000004-3471-8648-926B-8F1CC9022965}"/>
              </c:ext>
            </c:extLst>
          </c:dPt>
          <c:dPt>
            <c:idx val="3"/>
            <c:invertIfNegative val="0"/>
            <c:bubble3D val="0"/>
            <c:spPr>
              <a:solidFill>
                <a:srgbClr val="46A9C8"/>
              </a:solidFill>
              <a:ln>
                <a:noFill/>
              </a:ln>
              <a:effectLst/>
            </c:spPr>
            <c:extLst>
              <c:ext xmlns:c16="http://schemas.microsoft.com/office/drawing/2014/chart" uri="{C3380CC4-5D6E-409C-BE32-E72D297353CC}">
                <c16:uniqueId val="{00000003-3471-8648-926B-8F1CC9022965}"/>
              </c:ext>
            </c:extLst>
          </c:dPt>
          <c:dPt>
            <c:idx val="4"/>
            <c:invertIfNegative val="0"/>
            <c:bubble3D val="0"/>
            <c:spPr>
              <a:solidFill>
                <a:srgbClr val="46A9C8"/>
              </a:solidFill>
              <a:ln>
                <a:noFill/>
              </a:ln>
              <a:effectLst/>
            </c:spPr>
            <c:extLst>
              <c:ext xmlns:c16="http://schemas.microsoft.com/office/drawing/2014/chart" uri="{C3380CC4-5D6E-409C-BE32-E72D297353CC}">
                <c16:uniqueId val="{00000002-3471-8648-926B-8F1CC9022965}"/>
              </c:ext>
            </c:extLst>
          </c:dPt>
          <c:dPt>
            <c:idx val="5"/>
            <c:invertIfNegative val="0"/>
            <c:bubble3D val="0"/>
            <c:spPr>
              <a:solidFill>
                <a:srgbClr val="46A9C8"/>
              </a:solidFill>
              <a:ln>
                <a:noFill/>
              </a:ln>
              <a:effectLst/>
            </c:spPr>
            <c:extLst>
              <c:ext xmlns:c16="http://schemas.microsoft.com/office/drawing/2014/chart" uri="{C3380CC4-5D6E-409C-BE32-E72D297353CC}">
                <c16:uniqueId val="{00000001-3471-8648-926B-8F1CC9022965}"/>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Summary!$E$39:$P$39</c:f>
              <c:numCache>
                <c:formatCode>_(#,##0_);\(#,##0\);_("–"_);_(@_)</c:formatCode>
                <c:ptCount val="12"/>
                <c:pt idx="0">
                  <c:v>-1785.4</c:v>
                </c:pt>
                <c:pt idx="1">
                  <c:v>-811.90000000000009</c:v>
                </c:pt>
                <c:pt idx="2">
                  <c:v>-9953.0999999999985</c:v>
                </c:pt>
                <c:pt idx="3">
                  <c:v>-7193.3</c:v>
                </c:pt>
                <c:pt idx="4">
                  <c:v>-3151.4</c:v>
                </c:pt>
                <c:pt idx="5">
                  <c:v>-2913.1</c:v>
                </c:pt>
                <c:pt idx="6">
                  <c:v>-4645.620231296617</c:v>
                </c:pt>
                <c:pt idx="7">
                  <c:v>-4214.8333594497053</c:v>
                </c:pt>
                <c:pt idx="8">
                  <c:v>-4829.5395940754179</c:v>
                </c:pt>
                <c:pt idx="9">
                  <c:v>-5411.5003498567949</c:v>
                </c:pt>
                <c:pt idx="10">
                  <c:v>-6247.7756732927173</c:v>
                </c:pt>
                <c:pt idx="11">
                  <c:v>-5702.5367848837332</c:v>
                </c:pt>
              </c:numCache>
            </c:numRef>
          </c:val>
          <c:extLst>
            <c:ext xmlns:c16="http://schemas.microsoft.com/office/drawing/2014/chart" uri="{C3380CC4-5D6E-409C-BE32-E72D297353CC}">
              <c16:uniqueId val="{00000001-9406-E243-BC38-FDC49FB81B86}"/>
            </c:ext>
          </c:extLst>
        </c:ser>
        <c:ser>
          <c:idx val="0"/>
          <c:order val="2"/>
          <c:tx>
            <c:v>Operating</c:v>
          </c:tx>
          <c:spPr>
            <a:solidFill>
              <a:srgbClr val="0F238C"/>
            </a:solidFill>
            <a:ln w="9525" cap="flat" cmpd="sng" algn="ctr">
              <a:solidFill>
                <a:srgbClr val="3271D2"/>
              </a:solidFill>
              <a:prstDash val="solid"/>
              <a:round/>
              <a:headEnd type="none" w="med" len="med"/>
              <a:tailEnd type="none" w="med" len="med"/>
            </a:ln>
            <a:effectLst/>
          </c:spPr>
          <c:invertIfNegative val="0"/>
          <c:dPt>
            <c:idx val="0"/>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11-3471-8648-926B-8F1CC9022965}"/>
              </c:ext>
            </c:extLst>
          </c:dPt>
          <c:dPt>
            <c:idx val="1"/>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10-3471-8648-926B-8F1CC9022965}"/>
              </c:ext>
            </c:extLst>
          </c:dPt>
          <c:dPt>
            <c:idx val="2"/>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F-3471-8648-926B-8F1CC9022965}"/>
              </c:ext>
            </c:extLst>
          </c:dPt>
          <c:dPt>
            <c:idx val="3"/>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E-3471-8648-926B-8F1CC9022965}"/>
              </c:ext>
            </c:extLst>
          </c:dPt>
          <c:dPt>
            <c:idx val="4"/>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D-3471-8648-926B-8F1CC9022965}"/>
              </c:ext>
            </c:extLst>
          </c:dPt>
          <c:dPt>
            <c:idx val="5"/>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0-3471-8648-926B-8F1CC9022965}"/>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Summary!$E$37:$P$37</c:f>
              <c:numCache>
                <c:formatCode>_(#,##0_);\(#,##0\);_("–"_);_(@_)</c:formatCode>
                <c:ptCount val="12"/>
                <c:pt idx="0">
                  <c:v>3655.1</c:v>
                </c:pt>
                <c:pt idx="1">
                  <c:v>5306.6</c:v>
                </c:pt>
                <c:pt idx="2">
                  <c:v>11592.6</c:v>
                </c:pt>
                <c:pt idx="3">
                  <c:v>9434.9000000000015</c:v>
                </c:pt>
                <c:pt idx="4">
                  <c:v>6536.2000000000016</c:v>
                </c:pt>
                <c:pt idx="5">
                  <c:v>12369.700000000003</c:v>
                </c:pt>
                <c:pt idx="6">
                  <c:v>10093.427183601769</c:v>
                </c:pt>
                <c:pt idx="7">
                  <c:v>16154.418421399951</c:v>
                </c:pt>
                <c:pt idx="8">
                  <c:v>17768.778911299869</c:v>
                </c:pt>
                <c:pt idx="9">
                  <c:v>20491.218753374134</c:v>
                </c:pt>
                <c:pt idx="10">
                  <c:v>22662.164848105065</c:v>
                </c:pt>
                <c:pt idx="11">
                  <c:v>20404.95754701355</c:v>
                </c:pt>
              </c:numCache>
            </c:numRef>
          </c:val>
          <c:extLst>
            <c:ext xmlns:c16="http://schemas.microsoft.com/office/drawing/2014/chart" uri="{C3380CC4-5D6E-409C-BE32-E72D297353CC}">
              <c16:uniqueId val="{00000002-9406-E243-BC38-FDC49FB81B86}"/>
            </c:ext>
          </c:extLst>
        </c:ser>
        <c:dLbls>
          <c:showLegendKey val="0"/>
          <c:showVal val="0"/>
          <c:showCatName val="0"/>
          <c:showSerName val="0"/>
          <c:showPercent val="0"/>
          <c:showBubbleSize val="0"/>
        </c:dLbls>
        <c:gapWidth val="75"/>
        <c:overlap val="100"/>
        <c:axId val="635279256"/>
        <c:axId val="635280568"/>
      </c:barChart>
      <c:lineChart>
        <c:grouping val="standard"/>
        <c:varyColors val="0"/>
        <c:ser>
          <c:idx val="2"/>
          <c:order val="3"/>
          <c:tx>
            <c:v>Change in Cash</c:v>
          </c:tx>
          <c:spPr>
            <a:ln w="28575" cap="rnd">
              <a:solidFill>
                <a:schemeClr val="accent6"/>
              </a:solidFill>
              <a:round/>
            </a:ln>
            <a:effectLst/>
          </c:spPr>
          <c:marker>
            <c:symbol val="none"/>
          </c:marker>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Summary!$E$40:$P$40</c:f>
              <c:numCache>
                <c:formatCode>_(#,##0_);\(#,##0\);_("–"_);_(@_)</c:formatCode>
                <c:ptCount val="12"/>
                <c:pt idx="0">
                  <c:v>406.59999999999991</c:v>
                </c:pt>
                <c:pt idx="1">
                  <c:v>2522.4</c:v>
                </c:pt>
                <c:pt idx="2">
                  <c:v>882.10000000000218</c:v>
                </c:pt>
                <c:pt idx="3">
                  <c:v>319.60000000000127</c:v>
                </c:pt>
                <c:pt idx="4">
                  <c:v>-249.79999999999836</c:v>
                </c:pt>
                <c:pt idx="5">
                  <c:v>5724.8000000000011</c:v>
                </c:pt>
                <c:pt idx="6">
                  <c:v>1677.1217270110337</c:v>
                </c:pt>
                <c:pt idx="7">
                  <c:v>8033.7690446240413</c:v>
                </c:pt>
                <c:pt idx="8">
                  <c:v>9069.8111060553019</c:v>
                </c:pt>
                <c:pt idx="9">
                  <c:v>11283.285808241644</c:v>
                </c:pt>
                <c:pt idx="10">
                  <c:v>12739.368295257123</c:v>
                </c:pt>
                <c:pt idx="11">
                  <c:v>11154.181049671868</c:v>
                </c:pt>
              </c:numCache>
            </c:numRef>
          </c:val>
          <c:smooth val="0"/>
          <c:extLst>
            <c:ext xmlns:c16="http://schemas.microsoft.com/office/drawing/2014/chart" uri="{C3380CC4-5D6E-409C-BE32-E72D297353CC}">
              <c16:uniqueId val="{00000003-9406-E243-BC38-FDC49FB81B86}"/>
            </c:ext>
          </c:extLst>
        </c:ser>
        <c:dLbls>
          <c:showLegendKey val="0"/>
          <c:showVal val="0"/>
          <c:showCatName val="0"/>
          <c:showSerName val="0"/>
          <c:showPercent val="0"/>
          <c:showBubbleSize val="0"/>
        </c:dLbls>
        <c:marker val="1"/>
        <c:smooth val="0"/>
        <c:axId val="635279256"/>
        <c:axId val="635280568"/>
      </c:lineChart>
      <c:catAx>
        <c:axId val="63527925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80568"/>
        <c:crosses val="autoZero"/>
        <c:auto val="1"/>
        <c:lblAlgn val="ctr"/>
        <c:lblOffset val="100"/>
        <c:noMultiLvlLbl val="0"/>
      </c:catAx>
      <c:valAx>
        <c:axId val="635280568"/>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79256"/>
        <c:crosses val="autoZero"/>
        <c:crossBetween val="between"/>
      </c:valAx>
      <c:spPr>
        <a:noFill/>
        <a:ln>
          <a:noFill/>
        </a:ln>
        <a:effectLst/>
      </c:spPr>
    </c:plotArea>
    <c:legend>
      <c:legendPos val="t"/>
      <c:layout>
        <c:manualLayout>
          <c:xMode val="edge"/>
          <c:yMode val="edge"/>
          <c:x val="0.12333482827785988"/>
          <c:y val="4.0563972265461615E-2"/>
          <c:w val="0.86634672331237528"/>
          <c:h val="9.34523804984903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Summary!$E$172:$E$176</c:f>
              <c:strCache>
                <c:ptCount val="5"/>
                <c:pt idx="0">
                  <c:v> Comparable Trading Analysis  </c:v>
                </c:pt>
                <c:pt idx="1">
                  <c:v> DCF Valuation Analysis: Perpetuity Method  </c:v>
                </c:pt>
                <c:pt idx="2">
                  <c:v> DCF Valuation Analysis: Multiple Method  </c:v>
                </c:pt>
                <c:pt idx="3">
                  <c:v> 52 Week Trading  </c:v>
                </c:pt>
                <c:pt idx="4">
                  <c:v> Concensus Research  </c:v>
                </c:pt>
              </c:strCache>
            </c:strRef>
          </c:cat>
          <c:val>
            <c:numRef>
              <c:f>Summary!$G$172:$G$176</c:f>
              <c:numCache>
                <c:formatCode>#,##0.0_);\(#,##0.0\);\-</c:formatCode>
                <c:ptCount val="5"/>
                <c:pt idx="0">
                  <c:v>462.51947095743986</c:v>
                </c:pt>
                <c:pt idx="1">
                  <c:v>465.37595755389458</c:v>
                </c:pt>
                <c:pt idx="2">
                  <c:v>490.71584360847152</c:v>
                </c:pt>
                <c:pt idx="3">
                  <c:v>494.45299145299145</c:v>
                </c:pt>
                <c:pt idx="4">
                  <c:v>513.23931623931628</c:v>
                </c:pt>
              </c:numCache>
            </c:numRef>
          </c:val>
          <c:extLst>
            <c:ext xmlns:c16="http://schemas.microsoft.com/office/drawing/2014/chart" uri="{C3380CC4-5D6E-409C-BE32-E72D297353CC}">
              <c16:uniqueId val="{00000000-A828-EB4C-8D25-AF65017030EF}"/>
            </c:ext>
          </c:extLst>
        </c:ser>
        <c:ser>
          <c:idx val="1"/>
          <c:order val="1"/>
          <c:spPr>
            <a:solidFill>
              <a:srgbClr val="4C93D9"/>
            </a:solidFill>
            <a:ln>
              <a:noFill/>
            </a:ln>
            <a:effectLst/>
          </c:spPr>
          <c:invertIfNegative val="0"/>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4-A828-EB4C-8D25-AF65017030EF}"/>
              </c:ext>
            </c:extLst>
          </c:dPt>
          <c:dPt>
            <c:idx val="4"/>
            <c:invertIfNegative val="0"/>
            <c:bubble3D val="0"/>
            <c:spPr>
              <a:solidFill>
                <a:schemeClr val="bg1">
                  <a:lumMod val="75000"/>
                </a:schemeClr>
              </a:solidFill>
              <a:ln>
                <a:noFill/>
              </a:ln>
              <a:effectLst/>
            </c:spPr>
            <c:extLst>
              <c:ext xmlns:c16="http://schemas.microsoft.com/office/drawing/2014/chart" uri="{C3380CC4-5D6E-409C-BE32-E72D297353CC}">
                <c16:uniqueId val="{00000005-A828-EB4C-8D25-AF65017030EF}"/>
              </c:ext>
            </c:extLst>
          </c:dPt>
          <c:cat>
            <c:strRef>
              <c:f>Summary!$E$172:$E$176</c:f>
              <c:strCache>
                <c:ptCount val="5"/>
                <c:pt idx="0">
                  <c:v> Comparable Trading Analysis  </c:v>
                </c:pt>
                <c:pt idx="1">
                  <c:v> DCF Valuation Analysis: Perpetuity Method  </c:v>
                </c:pt>
                <c:pt idx="2">
                  <c:v> DCF Valuation Analysis: Multiple Method  </c:v>
                </c:pt>
                <c:pt idx="3">
                  <c:v> 52 Week Trading  </c:v>
                </c:pt>
                <c:pt idx="4">
                  <c:v> Concensus Research  </c:v>
                </c:pt>
              </c:strCache>
            </c:strRef>
          </c:cat>
          <c:val>
            <c:numRef>
              <c:f>Summary!$I$172:$I$176</c:f>
              <c:numCache>
                <c:formatCode>#,##0.0_);\(#,##0.0\);\-</c:formatCode>
                <c:ptCount val="5"/>
                <c:pt idx="0">
                  <c:v>322.98551622923111</c:v>
                </c:pt>
                <c:pt idx="1">
                  <c:v>403.78250382505411</c:v>
                </c:pt>
                <c:pt idx="2">
                  <c:v>369.42666622874884</c:v>
                </c:pt>
                <c:pt idx="3">
                  <c:v>394.63247863247875</c:v>
                </c:pt>
                <c:pt idx="4">
                  <c:v>432.20512820512829</c:v>
                </c:pt>
              </c:numCache>
            </c:numRef>
          </c:val>
          <c:extLst>
            <c:ext xmlns:c16="http://schemas.microsoft.com/office/drawing/2014/chart" uri="{C3380CC4-5D6E-409C-BE32-E72D297353CC}">
              <c16:uniqueId val="{00000001-A828-EB4C-8D25-AF65017030EF}"/>
            </c:ext>
          </c:extLst>
        </c:ser>
        <c:ser>
          <c:idx val="2"/>
          <c:order val="2"/>
          <c:spPr>
            <a:no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Summary!$E$172:$E$176</c:f>
              <c:strCache>
                <c:ptCount val="5"/>
                <c:pt idx="0">
                  <c:v> Comparable Trading Analysis  </c:v>
                </c:pt>
                <c:pt idx="1">
                  <c:v> DCF Valuation Analysis: Perpetuity Method  </c:v>
                </c:pt>
                <c:pt idx="2">
                  <c:v> DCF Valuation Analysis: Multiple Method  </c:v>
                </c:pt>
                <c:pt idx="3">
                  <c:v> 52 Week Trading  </c:v>
                </c:pt>
                <c:pt idx="4">
                  <c:v> Concensus Research  </c:v>
                </c:pt>
              </c:strCache>
            </c:strRef>
          </c:cat>
          <c:val>
            <c:numRef>
              <c:f>Summary!$K$172:$K$176</c:f>
              <c:numCache>
                <c:formatCode>#,##0.0_);\(#,##0.0\);\-</c:formatCode>
                <c:ptCount val="5"/>
                <c:pt idx="0">
                  <c:v>785.50498718667097</c:v>
                </c:pt>
                <c:pt idx="1">
                  <c:v>869.15846137894869</c:v>
                </c:pt>
                <c:pt idx="2">
                  <c:v>860.14250983722036</c:v>
                </c:pt>
                <c:pt idx="3">
                  <c:v>889.08547008547021</c:v>
                </c:pt>
                <c:pt idx="4">
                  <c:v>945.44444444444457</c:v>
                </c:pt>
              </c:numCache>
            </c:numRef>
          </c:val>
          <c:extLst>
            <c:ext xmlns:c16="http://schemas.microsoft.com/office/drawing/2014/chart" uri="{C3380CC4-5D6E-409C-BE32-E72D297353CC}">
              <c16:uniqueId val="{00000002-A828-EB4C-8D25-AF65017030EF}"/>
            </c:ext>
          </c:extLst>
        </c:ser>
        <c:dLbls>
          <c:showLegendKey val="0"/>
          <c:showVal val="0"/>
          <c:showCatName val="0"/>
          <c:showSerName val="0"/>
          <c:showPercent val="0"/>
          <c:showBubbleSize val="0"/>
        </c:dLbls>
        <c:gapWidth val="150"/>
        <c:overlap val="100"/>
        <c:axId val="152123151"/>
        <c:axId val="152124863"/>
      </c:barChart>
      <c:catAx>
        <c:axId val="1521231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52124863"/>
        <c:crosses val="autoZero"/>
        <c:auto val="1"/>
        <c:lblAlgn val="ctr"/>
        <c:lblOffset val="100"/>
        <c:noMultiLvlLbl val="0"/>
      </c:catAx>
      <c:valAx>
        <c:axId val="152124863"/>
        <c:scaling>
          <c:orientation val="minMax"/>
          <c:max val="1100"/>
          <c:min val="400"/>
        </c:scaling>
        <c:delete val="0"/>
        <c:axPos val="t"/>
        <c:majorGridlines>
          <c:spPr>
            <a:ln w="9525" cap="flat" cmpd="sng" algn="ctr">
              <a:noFill/>
              <a:round/>
            </a:ln>
            <a:effectLst/>
          </c:spPr>
        </c:majorGridlines>
        <c:numFmt formatCode="#,##0.0_);\(#,##0.0\);\-" sourceLinked="1"/>
        <c:majorTickMark val="out"/>
        <c:minorTickMark val="none"/>
        <c:tickLblPos val="high"/>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5212315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0F228C"/>
              </a:solidFill>
              <a:ln w="19050">
                <a:solidFill>
                  <a:schemeClr val="lt1"/>
                </a:solidFill>
              </a:ln>
              <a:effectLst/>
            </c:spPr>
            <c:extLst>
              <c:ext xmlns:c16="http://schemas.microsoft.com/office/drawing/2014/chart" uri="{C3380CC4-5D6E-409C-BE32-E72D297353CC}">
                <c16:uniqueId val="{00000002-6E50-1C44-BA0C-ABC586DBE1C3}"/>
              </c:ext>
            </c:extLst>
          </c:dPt>
          <c:dPt>
            <c:idx val="1"/>
            <c:bubble3D val="0"/>
            <c:spPr>
              <a:solidFill>
                <a:srgbClr val="BFBFBF"/>
              </a:solidFill>
              <a:ln w="19050">
                <a:solidFill>
                  <a:schemeClr val="lt1"/>
                </a:solidFill>
              </a:ln>
              <a:effectLst/>
            </c:spPr>
            <c:extLst>
              <c:ext xmlns:c16="http://schemas.microsoft.com/office/drawing/2014/chart" uri="{C3380CC4-5D6E-409C-BE32-E72D297353CC}">
                <c16:uniqueId val="{00000003-6E50-1C44-BA0C-ABC586DBE1C3}"/>
              </c:ext>
            </c:extLst>
          </c:dPt>
          <c:dPt>
            <c:idx val="2"/>
            <c:bubble3D val="0"/>
            <c:spPr>
              <a:solidFill>
                <a:srgbClr val="4C93D9"/>
              </a:solidFill>
              <a:ln w="19050">
                <a:solidFill>
                  <a:srgbClr val="3271D2">
                    <a:alpha val="31000"/>
                  </a:srgbClr>
                </a:solidFill>
              </a:ln>
              <a:effectLst/>
            </c:spPr>
            <c:extLst>
              <c:ext xmlns:c16="http://schemas.microsoft.com/office/drawing/2014/chart" uri="{C3380CC4-5D6E-409C-BE32-E72D297353CC}">
                <c16:uniqueId val="{00000001-6E50-1C44-BA0C-ABC586DBE1C3}"/>
              </c:ext>
            </c:extLst>
          </c:dPt>
          <c:cat>
            <c:strRef>
              <c:f>(Summary!$B$184,Summary!$B$185,Summary!$B$191)</c:f>
              <c:strCache>
                <c:ptCount val="3"/>
                <c:pt idx="0">
                  <c:v> DCF Valuation: Perpetuity Method  </c:v>
                </c:pt>
                <c:pt idx="1">
                  <c:v> DCF Valuation: Multiple Method  </c:v>
                </c:pt>
                <c:pt idx="2">
                  <c:v> Comparable Trading Analysis    </c:v>
                </c:pt>
              </c:strCache>
            </c:strRef>
          </c:cat>
          <c:val>
            <c:numRef>
              <c:f>(Summary!$M$184,Summary!$M$185,Summary!$M$191)</c:f>
              <c:numCache>
                <c:formatCode>#,##0.0_);\(#,##0.0\);\-</c:formatCode>
                <c:ptCount val="3"/>
                <c:pt idx="0">
                  <c:v>645.79767831456866</c:v>
                </c:pt>
                <c:pt idx="1">
                  <c:v>653.74066593461032</c:v>
                </c:pt>
                <c:pt idx="2">
                  <c:v>636.63260964937842</c:v>
                </c:pt>
              </c:numCache>
            </c:numRef>
          </c:val>
          <c:extLst>
            <c:ext xmlns:c16="http://schemas.microsoft.com/office/drawing/2014/chart" uri="{C3380CC4-5D6E-409C-BE32-E72D297353CC}">
              <c16:uniqueId val="{00000000-6E50-1C44-BA0C-ABC586DBE1C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65180375714330363"/>
          <c:y val="9.8894990268380209E-2"/>
          <c:w val="0.23025189383162276"/>
          <c:h val="0.75903776922908917"/>
        </c:manualLayout>
      </c:layout>
      <c:barChart>
        <c:barDir val="col"/>
        <c:grouping val="stacked"/>
        <c:varyColors val="0"/>
        <c:ser>
          <c:idx val="0"/>
          <c:order val="0"/>
          <c:tx>
            <c:strRef>
              <c:f>Summary!$R$6</c:f>
              <c:strCache>
                <c:ptCount val="1"/>
                <c:pt idx="0">
                  <c:v>52-Week Range</c:v>
                </c:pt>
              </c:strCache>
            </c:strRef>
          </c:tx>
          <c:spPr>
            <a:noFill/>
            <a:ln>
              <a:noFill/>
            </a:ln>
            <a:effectLst/>
          </c:spPr>
          <c:invertIfNegative val="0"/>
          <c:val>
            <c:numRef>
              <c:f>Summary!$S$6</c:f>
              <c:numCache>
                <c:formatCode>General</c:formatCode>
                <c:ptCount val="1"/>
                <c:pt idx="0">
                  <c:v>432.20512820512829</c:v>
                </c:pt>
              </c:numCache>
            </c:numRef>
          </c:val>
          <c:extLst>
            <c:ext xmlns:c16="http://schemas.microsoft.com/office/drawing/2014/chart" uri="{C3380CC4-5D6E-409C-BE32-E72D297353CC}">
              <c16:uniqueId val="{00000000-9F2A-7C45-A783-76A73AA767DB}"/>
            </c:ext>
          </c:extLst>
        </c:ser>
        <c:ser>
          <c:idx val="1"/>
          <c:order val="1"/>
          <c:tx>
            <c:strRef>
              <c:f>Summary!$R$7</c:f>
              <c:strCache>
                <c:ptCount val="1"/>
                <c:pt idx="0">
                  <c:v>52-Week Range</c:v>
                </c:pt>
              </c:strCache>
            </c:strRef>
          </c:tx>
          <c:spPr>
            <a:solidFill>
              <a:srgbClr val="4F81BD">
                <a:alpha val="70000"/>
              </a:srgbClr>
            </a:solidFill>
            <a:ln w="31750" cap="rnd" cmpd="sng">
              <a:noFill/>
              <a:prstDash val="solid"/>
              <a:round/>
            </a:ln>
            <a:effectLst>
              <a:softEdge rad="0"/>
            </a:effectLst>
          </c:spPr>
          <c:invertIfNegative val="0"/>
          <c:val>
            <c:numRef>
              <c:f>Summary!$S$7</c:f>
              <c:numCache>
                <c:formatCode>General</c:formatCode>
                <c:ptCount val="1"/>
                <c:pt idx="0">
                  <c:v>513.23931623931628</c:v>
                </c:pt>
              </c:numCache>
            </c:numRef>
          </c:val>
          <c:extLst>
            <c:ext xmlns:c16="http://schemas.microsoft.com/office/drawing/2014/chart" uri="{C3380CC4-5D6E-409C-BE32-E72D297353CC}">
              <c16:uniqueId val="{00000001-9F2A-7C45-A783-76A73AA767DB}"/>
            </c:ext>
          </c:extLst>
        </c:ser>
        <c:dLbls>
          <c:showLegendKey val="0"/>
          <c:showVal val="0"/>
          <c:showCatName val="0"/>
          <c:showSerName val="0"/>
          <c:showPercent val="0"/>
          <c:showBubbleSize val="0"/>
        </c:dLbls>
        <c:gapWidth val="500"/>
        <c:overlap val="100"/>
        <c:axId val="1707137280"/>
        <c:axId val="773609231"/>
      </c:barChart>
      <c:scatterChart>
        <c:scatterStyle val="lineMarker"/>
        <c:varyColors val="0"/>
        <c:ser>
          <c:idx val="2"/>
          <c:order val="2"/>
          <c:tx>
            <c:strRef>
              <c:f>Summary!$J$9</c:f>
              <c:strCache>
                <c:ptCount val="1"/>
                <c:pt idx="0">
                  <c:v> Current Price  </c:v>
                </c:pt>
              </c:strCache>
            </c:strRef>
          </c:tx>
          <c:spPr>
            <a:ln w="15875" cap="rnd">
              <a:noFill/>
              <a:round/>
            </a:ln>
            <a:effectLst/>
          </c:spPr>
          <c:marker>
            <c:symbol val="circle"/>
            <c:size val="7"/>
            <c:spPr>
              <a:solidFill>
                <a:srgbClr val="F28E2B"/>
              </a:solidFill>
              <a:ln w="0">
                <a:solidFill>
                  <a:schemeClr val="accent4"/>
                </a:solidFill>
              </a:ln>
              <a:effectLst/>
            </c:spPr>
          </c:marker>
          <c:yVal>
            <c:numRef>
              <c:f>Summary!$P$9</c:f>
              <c:numCache>
                <c:formatCode>#,##0.0_);\(#,##0.0\);\-</c:formatCode>
                <c:ptCount val="1"/>
                <c:pt idx="0">
                  <c:v>881.91452991452991</c:v>
                </c:pt>
              </c:numCache>
            </c:numRef>
          </c:yVal>
          <c:smooth val="0"/>
          <c:extLst>
            <c:ext xmlns:c16="http://schemas.microsoft.com/office/drawing/2014/chart" uri="{C3380CC4-5D6E-409C-BE32-E72D297353CC}">
              <c16:uniqueId val="{00000004-9F2A-7C45-A783-76A73AA767DB}"/>
            </c:ext>
          </c:extLst>
        </c:ser>
        <c:ser>
          <c:idx val="3"/>
          <c:order val="3"/>
          <c:tx>
            <c:strRef>
              <c:f>Summary!$J$8</c:f>
              <c:strCache>
                <c:ptCount val="1"/>
                <c:pt idx="0">
                  <c:v> Price Target  </c:v>
                </c:pt>
              </c:strCache>
            </c:strRef>
          </c:tx>
          <c:spPr>
            <a:ln w="28575" cap="rnd">
              <a:noFill/>
              <a:round/>
            </a:ln>
            <a:effectLst/>
          </c:spPr>
          <c:marker>
            <c:symbol val="circle"/>
            <c:size val="7"/>
            <c:spPr>
              <a:solidFill>
                <a:srgbClr val="0F228C"/>
              </a:solidFill>
              <a:ln w="41275">
                <a:solidFill>
                  <a:schemeClr val="accent4">
                    <a:alpha val="0"/>
                  </a:schemeClr>
                </a:solidFill>
              </a:ln>
              <a:effectLst/>
            </c:spPr>
          </c:marker>
          <c:dPt>
            <c:idx val="0"/>
            <c:marker>
              <c:symbol val="circle"/>
              <c:size val="7"/>
              <c:spPr>
                <a:solidFill>
                  <a:srgbClr val="0F228C"/>
                </a:solidFill>
                <a:ln w="41275" cap="rnd">
                  <a:solidFill>
                    <a:schemeClr val="accent4">
                      <a:alpha val="0"/>
                    </a:schemeClr>
                  </a:solidFill>
                </a:ln>
                <a:effectLst/>
              </c:spPr>
            </c:marker>
            <c:bubble3D val="0"/>
            <c:extLst>
              <c:ext xmlns:c16="http://schemas.microsoft.com/office/drawing/2014/chart" uri="{C3380CC4-5D6E-409C-BE32-E72D297353CC}">
                <c16:uniqueId val="{00000006-9F2A-7C45-A783-76A73AA767DB}"/>
              </c:ext>
            </c:extLst>
          </c:dPt>
          <c:yVal>
            <c:numRef>
              <c:f>Summary!$P$8</c:f>
              <c:numCache>
                <c:formatCode>#,##0.0_);\(#,##0.0\);\-</c:formatCode>
                <c:ptCount val="1"/>
                <c:pt idx="0">
                  <c:v>644.51454713450505</c:v>
                </c:pt>
              </c:numCache>
            </c:numRef>
          </c:yVal>
          <c:smooth val="0"/>
          <c:extLst>
            <c:ext xmlns:c16="http://schemas.microsoft.com/office/drawing/2014/chart" uri="{C3380CC4-5D6E-409C-BE32-E72D297353CC}">
              <c16:uniqueId val="{00000005-9F2A-7C45-A783-76A73AA767DB}"/>
            </c:ext>
          </c:extLst>
        </c:ser>
        <c:dLbls>
          <c:showLegendKey val="0"/>
          <c:showVal val="0"/>
          <c:showCatName val="0"/>
          <c:showSerName val="0"/>
          <c:showPercent val="0"/>
          <c:showBubbleSize val="0"/>
        </c:dLbls>
        <c:axId val="1707137280"/>
        <c:axId val="773609231"/>
      </c:scatterChart>
      <c:catAx>
        <c:axId val="1707137280"/>
        <c:scaling>
          <c:orientation val="minMax"/>
        </c:scaling>
        <c:delete val="1"/>
        <c:axPos val="b"/>
        <c:numFmt formatCode="General" sourceLinked="1"/>
        <c:majorTickMark val="out"/>
        <c:minorTickMark val="none"/>
        <c:tickLblPos val="nextTo"/>
        <c:crossAx val="773609231"/>
        <c:crosses val="autoZero"/>
        <c:auto val="1"/>
        <c:lblAlgn val="ctr"/>
        <c:lblOffset val="100"/>
        <c:noMultiLvlLbl val="0"/>
      </c:catAx>
      <c:valAx>
        <c:axId val="773609231"/>
        <c:scaling>
          <c:orientation val="minMax"/>
          <c:max val="1000"/>
          <c:min val="400"/>
        </c:scaling>
        <c:delete val="0"/>
        <c:axPos val="l"/>
        <c:numFmt formatCode="&quot;€&quot;#,##0\&#10;" sourceLinked="0"/>
        <c:majorTickMark val="out"/>
        <c:minorTickMark val="none"/>
        <c:tickLblPos val="nextTo"/>
        <c:spPr>
          <a:noFill/>
          <a:ln>
            <a:solidFill>
              <a:schemeClr val="bg1">
                <a:lumMod val="75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707137280"/>
        <c:crosses val="autoZero"/>
        <c:crossBetween val="between"/>
        <c:majorUnit val="100"/>
      </c:valAx>
      <c:spPr>
        <a:noFill/>
        <a:ln>
          <a:noFill/>
        </a:ln>
        <a:effectLst/>
      </c:spPr>
    </c:plotArea>
    <c:legend>
      <c:legendPos val="l"/>
      <c:legendEntry>
        <c:idx val="1"/>
        <c:delete val="1"/>
      </c:legendEntry>
      <c:layout>
        <c:manualLayout>
          <c:xMode val="edge"/>
          <c:yMode val="edge"/>
          <c:x val="9.1851372906810266E-2"/>
          <c:y val="0.2497826129470625"/>
          <c:w val="0.3374952130608313"/>
          <c:h val="0.50649203836315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E$32" fmlaRange="$P$32:$P$33" noThreeD="1" sel="1" val="0"/>
</file>

<file path=xl/ctrlProps/ctrlProp2.xml><?xml version="1.0" encoding="utf-8"?>
<formControlPr xmlns="http://schemas.microsoft.com/office/spreadsheetml/2009/9/main" objectType="Drop" dropStyle="combo" dx="15" fmlaLink="$D$6" fmlaRange="$B$74:$B$76" noThreeD="1" sel="2" val="0"/>
</file>

<file path=xl/ctrlProps/ctrlProp3.xml><?xml version="1.0" encoding="utf-8"?>
<formControlPr xmlns="http://schemas.microsoft.com/office/spreadsheetml/2009/9/main" objectType="Drop" dropStyle="combo" dx="15" fmlaLink="Summary!$D$6" fmlaRange="Summary!$B$74:$B$76" noThreeD="1" sel="2"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60266</xdr:colOff>
      <xdr:row>2</xdr:row>
      <xdr:rowOff>47644</xdr:rowOff>
    </xdr:from>
    <xdr:to>
      <xdr:col>7</xdr:col>
      <xdr:colOff>709742</xdr:colOff>
      <xdr:row>8</xdr:row>
      <xdr:rowOff>181624</xdr:rowOff>
    </xdr:to>
    <xdr:pic>
      <xdr:nvPicPr>
        <xdr:cNvPr id="6" name="Picture 5" descr="ASML logo in transparent PNG and vectorized SVG formats">
          <a:extLst>
            <a:ext uri="{FF2B5EF4-FFF2-40B4-BE49-F238E27FC236}">
              <a16:creationId xmlns:a16="http://schemas.microsoft.com/office/drawing/2014/main" id="{5AA908E6-B016-332B-2DAA-D553EAAB96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04659" y="458742"/>
          <a:ext cx="4760507" cy="136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558800</xdr:colOff>
          <xdr:row>31</xdr:row>
          <xdr:rowOff>12700</xdr:rowOff>
        </xdr:from>
        <xdr:to>
          <xdr:col>4</xdr:col>
          <xdr:colOff>673100</xdr:colOff>
          <xdr:row>32</xdr:row>
          <xdr:rowOff>25400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44</xdr:row>
      <xdr:rowOff>0</xdr:rowOff>
    </xdr:from>
    <xdr:to>
      <xdr:col>8</xdr:col>
      <xdr:colOff>27312</xdr:colOff>
      <xdr:row>61</xdr:row>
      <xdr:rowOff>88458</xdr:rowOff>
    </xdr:to>
    <xdr:graphicFrame macro="">
      <xdr:nvGraphicFramePr>
        <xdr:cNvPr id="2" name="Chart 1">
          <a:extLst>
            <a:ext uri="{FF2B5EF4-FFF2-40B4-BE49-F238E27FC236}">
              <a16:creationId xmlns:a16="http://schemas.microsoft.com/office/drawing/2014/main" id="{ABD0D2ED-56F8-8442-8EDE-F59DF660C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44</xdr:row>
      <xdr:rowOff>0</xdr:rowOff>
    </xdr:from>
    <xdr:to>
      <xdr:col>16</xdr:col>
      <xdr:colOff>40532</xdr:colOff>
      <xdr:row>60</xdr:row>
      <xdr:rowOff>176987</xdr:rowOff>
    </xdr:to>
    <xdr:graphicFrame macro="">
      <xdr:nvGraphicFramePr>
        <xdr:cNvPr id="4" name="Chart 3">
          <a:extLst>
            <a:ext uri="{FF2B5EF4-FFF2-40B4-BE49-F238E27FC236}">
              <a16:creationId xmlns:a16="http://schemas.microsoft.com/office/drawing/2014/main" id="{C8C9DF0E-078D-3445-8A79-F46E8F85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749300</xdr:colOff>
          <xdr:row>5</xdr:row>
          <xdr:rowOff>12700</xdr:rowOff>
        </xdr:from>
        <xdr:to>
          <xdr:col>5</xdr:col>
          <xdr:colOff>76200</xdr:colOff>
          <xdr:row>6</xdr:row>
          <xdr:rowOff>25400</xdr:rowOff>
        </xdr:to>
        <xdr:sp macro="" textlink="">
          <xdr:nvSpPr>
            <xdr:cNvPr id="6147" name="Drop Down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57883</xdr:colOff>
      <xdr:row>145</xdr:row>
      <xdr:rowOff>192110</xdr:rowOff>
    </xdr:from>
    <xdr:to>
      <xdr:col>15</xdr:col>
      <xdr:colOff>736601</xdr:colOff>
      <xdr:row>165</xdr:row>
      <xdr:rowOff>139700</xdr:rowOff>
    </xdr:to>
    <xdr:graphicFrame macro="">
      <xdr:nvGraphicFramePr>
        <xdr:cNvPr id="11" name="Chart 10">
          <a:extLst>
            <a:ext uri="{FF2B5EF4-FFF2-40B4-BE49-F238E27FC236}">
              <a16:creationId xmlns:a16="http://schemas.microsoft.com/office/drawing/2014/main" id="{2A6793B1-570C-8331-B4FE-AED0C77F8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8</xdr:col>
      <xdr:colOff>249513</xdr:colOff>
      <xdr:row>147</xdr:row>
      <xdr:rowOff>13662</xdr:rowOff>
    </xdr:from>
    <xdr:to>
      <xdr:col>8</xdr:col>
      <xdr:colOff>249513</xdr:colOff>
      <xdr:row>164</xdr:row>
      <xdr:rowOff>97336</xdr:rowOff>
    </xdr:to>
    <xdr:cxnSp macro="">
      <xdr:nvCxnSpPr>
        <xdr:cNvPr id="13" name="Straight Connector 12">
          <a:extLst>
            <a:ext uri="{FF2B5EF4-FFF2-40B4-BE49-F238E27FC236}">
              <a16:creationId xmlns:a16="http://schemas.microsoft.com/office/drawing/2014/main" id="{79627399-80CC-E4C5-E3FE-AC0A79E9223E}"/>
            </a:ext>
          </a:extLst>
        </xdr:cNvPr>
        <xdr:cNvCxnSpPr/>
      </xdr:nvCxnSpPr>
      <xdr:spPr>
        <a:xfrm flipH="1">
          <a:off x="6421083" y="29853414"/>
          <a:ext cx="0" cy="3473839"/>
        </a:xfrm>
        <a:prstGeom prst="line">
          <a:avLst/>
        </a:prstGeom>
        <a:ln w="12700">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615809</xdr:colOff>
      <xdr:row>145</xdr:row>
      <xdr:rowOff>148296</xdr:rowOff>
    </xdr:from>
    <xdr:to>
      <xdr:col>9</xdr:col>
      <xdr:colOff>494726</xdr:colOff>
      <xdr:row>146</xdr:row>
      <xdr:rowOff>158456</xdr:rowOff>
    </xdr:to>
    <xdr:sp macro="" textlink="">
      <xdr:nvSpPr>
        <xdr:cNvPr id="16" name="TextBox 15">
          <a:extLst>
            <a:ext uri="{FF2B5EF4-FFF2-40B4-BE49-F238E27FC236}">
              <a16:creationId xmlns:a16="http://schemas.microsoft.com/office/drawing/2014/main" id="{24AEEC86-2977-EC39-D882-FEA4B54ECA7C}"/>
            </a:ext>
          </a:extLst>
        </xdr:cNvPr>
        <xdr:cNvSpPr txBox="1"/>
      </xdr:nvSpPr>
      <xdr:spPr>
        <a:xfrm>
          <a:off x="5958206" y="29589205"/>
          <a:ext cx="1537264" cy="209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accent2"/>
              </a:solidFill>
              <a:latin typeface="Calibri" panose="020F0502020204030204" pitchFamily="34" charset="0"/>
              <a:cs typeface="Calibri" panose="020F0502020204030204" pitchFamily="34" charset="0"/>
            </a:rPr>
            <a:t>Recommended Range</a:t>
          </a:r>
        </a:p>
      </xdr:txBody>
    </xdr:sp>
    <xdr:clientData/>
  </xdr:twoCellAnchor>
  <xdr:twoCellAnchor>
    <xdr:from>
      <xdr:col>8</xdr:col>
      <xdr:colOff>514864</xdr:colOff>
      <xdr:row>147</xdr:row>
      <xdr:rowOff>24951</xdr:rowOff>
    </xdr:from>
    <xdr:to>
      <xdr:col>8</xdr:col>
      <xdr:colOff>514864</xdr:colOff>
      <xdr:row>164</xdr:row>
      <xdr:rowOff>108625</xdr:rowOff>
    </xdr:to>
    <xdr:cxnSp macro="">
      <xdr:nvCxnSpPr>
        <xdr:cNvPr id="18" name="Straight Connector 17">
          <a:extLst>
            <a:ext uri="{FF2B5EF4-FFF2-40B4-BE49-F238E27FC236}">
              <a16:creationId xmlns:a16="http://schemas.microsoft.com/office/drawing/2014/main" id="{457A9F65-BEE6-EE43-8DC7-4462A4BC837F}"/>
            </a:ext>
          </a:extLst>
        </xdr:cNvPr>
        <xdr:cNvCxnSpPr/>
      </xdr:nvCxnSpPr>
      <xdr:spPr>
        <a:xfrm flipH="1">
          <a:off x="6686434" y="29864703"/>
          <a:ext cx="0" cy="3473839"/>
        </a:xfrm>
        <a:prstGeom prst="line">
          <a:avLst/>
        </a:prstGeom>
        <a:ln w="12700">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281214</xdr:colOff>
      <xdr:row>180</xdr:row>
      <xdr:rowOff>29535</xdr:rowOff>
    </xdr:from>
    <xdr:to>
      <xdr:col>15</xdr:col>
      <xdr:colOff>679303</xdr:colOff>
      <xdr:row>191</xdr:row>
      <xdr:rowOff>147674</xdr:rowOff>
    </xdr:to>
    <xdr:graphicFrame macro="">
      <xdr:nvGraphicFramePr>
        <xdr:cNvPr id="19" name="Chart 18">
          <a:extLst>
            <a:ext uri="{FF2B5EF4-FFF2-40B4-BE49-F238E27FC236}">
              <a16:creationId xmlns:a16="http://schemas.microsoft.com/office/drawing/2014/main" id="{BBCED244-E204-2C7B-24E4-5215068763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425366</xdr:colOff>
      <xdr:row>4</xdr:row>
      <xdr:rowOff>16725</xdr:rowOff>
    </xdr:from>
    <xdr:to>
      <xdr:col>8</xdr:col>
      <xdr:colOff>716393</xdr:colOff>
      <xdr:row>14</xdr:row>
      <xdr:rowOff>69538</xdr:rowOff>
    </xdr:to>
    <xdr:graphicFrame macro="">
      <xdr:nvGraphicFramePr>
        <xdr:cNvPr id="23" name="Chart 22">
          <a:extLst>
            <a:ext uri="{FF2B5EF4-FFF2-40B4-BE49-F238E27FC236}">
              <a16:creationId xmlns:a16="http://schemas.microsoft.com/office/drawing/2014/main" id="{73C76B23-AF5B-5355-5D9B-6C474C52A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25400</xdr:colOff>
          <xdr:row>5</xdr:row>
          <xdr:rowOff>165100</xdr:rowOff>
        </xdr:from>
        <xdr:to>
          <xdr:col>2</xdr:col>
          <xdr:colOff>469900</xdr:colOff>
          <xdr:row>6</xdr:row>
          <xdr:rowOff>203200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rihajakub.com/" TargetMode="External"/><Relationship Id="rId1" Type="http://schemas.openxmlformats.org/officeDocument/2006/relationships/hyperlink" Target="https://www.linkedin.com/in/-jakub-riha/"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AF6F-9898-2747-960C-E787FFC578D5}">
  <sheetPr codeName="Sheet1"/>
  <dimension ref="B2:P42"/>
  <sheetViews>
    <sheetView showGridLines="0" zoomScale="106" zoomScaleNormal="141" workbookViewId="0">
      <selection activeCell="M27" sqref="M27"/>
    </sheetView>
  </sheetViews>
  <sheetFormatPr baseColWidth="10" defaultRowHeight="16"/>
  <cols>
    <col min="1" max="2" width="10.83203125" style="1"/>
    <col min="3" max="3" width="10.6640625" style="1" customWidth="1"/>
    <col min="4" max="16384" width="10.83203125" style="1"/>
  </cols>
  <sheetData>
    <row r="2" spans="2:14">
      <c r="B2" s="12"/>
      <c r="C2" s="13"/>
      <c r="D2" s="13"/>
      <c r="E2" s="13"/>
      <c r="F2" s="13"/>
      <c r="G2" s="13"/>
      <c r="H2" s="13"/>
      <c r="I2" s="13"/>
      <c r="J2" s="13"/>
      <c r="K2" s="13"/>
      <c r="L2" s="13"/>
      <c r="M2" s="13"/>
      <c r="N2" s="14"/>
    </row>
    <row r="3" spans="2:14">
      <c r="B3" s="12"/>
      <c r="C3" s="13"/>
      <c r="D3" s="13"/>
      <c r="E3" s="13"/>
      <c r="F3" s="13"/>
      <c r="G3" s="13"/>
      <c r="H3" s="13"/>
      <c r="I3" s="13"/>
      <c r="J3" s="13"/>
      <c r="K3" s="13"/>
      <c r="L3" s="13"/>
      <c r="M3" s="13"/>
      <c r="N3" s="14"/>
    </row>
    <row r="4" spans="2:14">
      <c r="B4" s="15"/>
      <c r="C4" s="16"/>
      <c r="D4" s="16"/>
      <c r="E4" s="16"/>
      <c r="F4" s="16"/>
      <c r="G4" s="16"/>
      <c r="H4" s="16"/>
      <c r="I4" s="16"/>
      <c r="J4" s="16"/>
      <c r="K4" s="16"/>
      <c r="L4" s="16"/>
      <c r="M4" s="16"/>
      <c r="N4" s="17"/>
    </row>
    <row r="5" spans="2:14">
      <c r="B5" s="15"/>
      <c r="C5" s="16"/>
      <c r="D5" s="16"/>
      <c r="E5" s="16"/>
      <c r="F5" s="16"/>
      <c r="G5" s="16"/>
      <c r="H5" s="16"/>
      <c r="I5" s="16"/>
      <c r="J5" s="16"/>
      <c r="K5" s="16"/>
      <c r="L5" s="16"/>
      <c r="M5" s="16"/>
      <c r="N5" s="17"/>
    </row>
    <row r="6" spans="2:14">
      <c r="B6" s="15"/>
      <c r="C6" s="16"/>
      <c r="D6" s="16"/>
      <c r="E6" s="16"/>
      <c r="F6" s="16"/>
      <c r="G6" s="16"/>
      <c r="H6" s="16"/>
      <c r="I6" s="16"/>
      <c r="J6" s="16"/>
      <c r="K6" s="16"/>
      <c r="L6" s="16"/>
      <c r="M6" s="16"/>
      <c r="N6" s="17"/>
    </row>
    <row r="7" spans="2:14">
      <c r="B7" s="15"/>
      <c r="C7" s="16"/>
      <c r="D7" s="16"/>
      <c r="E7" s="16"/>
      <c r="F7" s="16"/>
      <c r="G7" s="16"/>
      <c r="H7" s="16"/>
      <c r="I7" s="16"/>
      <c r="J7" s="16"/>
      <c r="K7" s="16"/>
      <c r="L7" s="16"/>
      <c r="M7" s="16"/>
      <c r="N7" s="17"/>
    </row>
    <row r="8" spans="2:14">
      <c r="B8" s="15"/>
      <c r="C8" s="16"/>
      <c r="D8" s="16"/>
      <c r="E8" s="16"/>
      <c r="F8" s="16"/>
      <c r="G8" s="16"/>
      <c r="H8" s="16"/>
      <c r="I8" s="16"/>
      <c r="J8" s="16"/>
      <c r="K8" s="16"/>
      <c r="L8" s="16"/>
      <c r="M8" s="16"/>
      <c r="N8" s="17"/>
    </row>
    <row r="9" spans="2:14">
      <c r="B9" s="15"/>
      <c r="C9" s="16"/>
      <c r="D9" s="16"/>
      <c r="E9" s="16"/>
      <c r="F9" s="16"/>
      <c r="G9" s="16"/>
      <c r="H9" s="16"/>
      <c r="I9" s="16"/>
      <c r="J9" s="16"/>
      <c r="K9" s="16"/>
      <c r="L9" s="16"/>
      <c r="M9" s="16"/>
      <c r="N9" s="17"/>
    </row>
    <row r="10" spans="2:14">
      <c r="B10" s="18"/>
      <c r="C10" s="19"/>
      <c r="D10" s="19"/>
      <c r="E10" s="19"/>
      <c r="F10" s="19"/>
      <c r="G10" s="19"/>
      <c r="H10" s="19"/>
      <c r="I10" s="19"/>
      <c r="J10" s="19"/>
      <c r="K10" s="427"/>
      <c r="L10" s="19"/>
      <c r="M10" s="19"/>
      <c r="N10" s="20"/>
    </row>
    <row r="11" spans="2:14" ht="26">
      <c r="B11" s="21"/>
      <c r="N11" s="22"/>
    </row>
    <row r="12" spans="2:14" ht="24">
      <c r="B12" s="23"/>
      <c r="C12" s="24" t="s">
        <v>50</v>
      </c>
      <c r="D12" s="25"/>
      <c r="E12" s="25"/>
      <c r="F12" s="25"/>
      <c r="G12" s="25"/>
      <c r="N12" s="22"/>
    </row>
    <row r="13" spans="2:14">
      <c r="B13" s="23"/>
      <c r="C13" s="26" t="s">
        <v>54</v>
      </c>
      <c r="N13" s="22"/>
    </row>
    <row r="14" spans="2:14">
      <c r="B14" s="23"/>
      <c r="C14" s="26" t="s">
        <v>63</v>
      </c>
      <c r="D14" s="27"/>
      <c r="N14" s="22"/>
    </row>
    <row r="15" spans="2:14">
      <c r="B15" s="23"/>
      <c r="C15" s="27" t="s">
        <v>55</v>
      </c>
      <c r="D15" s="27" t="s">
        <v>56</v>
      </c>
      <c r="N15" s="22"/>
    </row>
    <row r="16" spans="2:14">
      <c r="B16" s="23"/>
      <c r="N16" s="22"/>
    </row>
    <row r="17" spans="2:16" ht="19">
      <c r="B17" s="23"/>
      <c r="C17" s="28" t="s">
        <v>48</v>
      </c>
      <c r="D17" s="28"/>
      <c r="E17" s="28"/>
      <c r="F17" s="28"/>
      <c r="G17" s="28"/>
      <c r="I17" s="28" t="s">
        <v>64</v>
      </c>
      <c r="J17" s="28"/>
      <c r="K17" s="28"/>
      <c r="L17" s="28"/>
      <c r="M17" s="28"/>
      <c r="N17" s="22"/>
    </row>
    <row r="18" spans="2:16">
      <c r="B18" s="23"/>
      <c r="C18" s="29"/>
      <c r="I18" s="29"/>
      <c r="N18" s="22"/>
    </row>
    <row r="19" spans="2:16">
      <c r="B19" s="23"/>
      <c r="C19" s="30" t="s">
        <v>49</v>
      </c>
      <c r="I19" s="29" t="s">
        <v>66</v>
      </c>
      <c r="J19" s="31"/>
      <c r="M19" s="32"/>
      <c r="N19" s="22"/>
    </row>
    <row r="20" spans="2:16">
      <c r="B20" s="23"/>
      <c r="C20" s="30" t="s">
        <v>51</v>
      </c>
      <c r="I20" s="1" t="s">
        <v>68</v>
      </c>
      <c r="J20" s="27"/>
      <c r="M20" s="33" t="s">
        <v>460</v>
      </c>
      <c r="N20" s="22"/>
    </row>
    <row r="21" spans="2:16">
      <c r="B21" s="23"/>
      <c r="C21" s="30" t="s">
        <v>52</v>
      </c>
      <c r="I21" s="1" t="s">
        <v>69</v>
      </c>
      <c r="J21" s="27"/>
      <c r="M21" s="10" t="s">
        <v>436</v>
      </c>
      <c r="N21" s="22"/>
    </row>
    <row r="22" spans="2:16">
      <c r="B22" s="23"/>
      <c r="C22" s="30" t="s">
        <v>53</v>
      </c>
      <c r="N22" s="22"/>
    </row>
    <row r="23" spans="2:16">
      <c r="B23" s="23"/>
      <c r="N23" s="22"/>
    </row>
    <row r="24" spans="2:16" ht="19">
      <c r="B24" s="23"/>
      <c r="C24" s="28" t="s">
        <v>57</v>
      </c>
      <c r="D24" s="28"/>
      <c r="E24" s="28"/>
      <c r="F24" s="28"/>
      <c r="G24" s="28"/>
      <c r="I24" s="28" t="s">
        <v>65</v>
      </c>
      <c r="J24" s="28"/>
      <c r="K24" s="28"/>
      <c r="L24" s="28"/>
      <c r="M24" s="28"/>
      <c r="N24" s="22"/>
    </row>
    <row r="25" spans="2:16">
      <c r="B25" s="23"/>
      <c r="I25" s="29"/>
      <c r="N25" s="22"/>
    </row>
    <row r="26" spans="2:16" ht="19">
      <c r="B26" s="23"/>
      <c r="C26" s="26" t="s">
        <v>58</v>
      </c>
      <c r="D26" s="26"/>
      <c r="E26" s="34"/>
      <c r="F26" s="34"/>
      <c r="G26" s="35" t="s">
        <v>67</v>
      </c>
      <c r="I26" s="1" t="s">
        <v>70</v>
      </c>
      <c r="J26" s="3"/>
      <c r="M26" s="622">
        <v>881.9</v>
      </c>
      <c r="N26" s="22" t="s">
        <v>569</v>
      </c>
    </row>
    <row r="27" spans="2:16">
      <c r="B27" s="23"/>
      <c r="C27" s="26" t="s">
        <v>59</v>
      </c>
      <c r="D27" s="26"/>
      <c r="G27" s="35" t="s">
        <v>62</v>
      </c>
      <c r="I27" s="1" t="s">
        <v>71</v>
      </c>
      <c r="M27" s="622" t="str">
        <f>Summary!O204</f>
        <v>Strong Sell</v>
      </c>
      <c r="N27" s="22"/>
    </row>
    <row r="28" spans="2:16">
      <c r="B28" s="23"/>
      <c r="C28" s="26" t="s">
        <v>60</v>
      </c>
      <c r="D28" s="26"/>
      <c r="G28" s="35" t="s">
        <v>61</v>
      </c>
      <c r="N28" s="22"/>
    </row>
    <row r="29" spans="2:16">
      <c r="B29" s="23"/>
      <c r="C29" s="26"/>
      <c r="D29" s="26"/>
      <c r="G29" s="35"/>
      <c r="N29" s="22"/>
    </row>
    <row r="30" spans="2:16" ht="19">
      <c r="B30" s="23"/>
      <c r="C30" s="28" t="s">
        <v>464</v>
      </c>
      <c r="D30" s="28"/>
      <c r="E30" s="28"/>
      <c r="F30" s="28"/>
      <c r="G30" s="28"/>
      <c r="N30" s="22"/>
    </row>
    <row r="31" spans="2:16">
      <c r="B31" s="23"/>
      <c r="C31" s="26"/>
      <c r="D31" s="26"/>
      <c r="G31" s="35"/>
      <c r="N31" s="22"/>
    </row>
    <row r="32" spans="2:16">
      <c r="B32" s="23"/>
      <c r="C32" s="26" t="s">
        <v>464</v>
      </c>
      <c r="D32" s="26"/>
      <c r="E32" s="114">
        <v>1</v>
      </c>
      <c r="F32" s="461" t="str">
        <f>IF($E$32=1,"This model now has the circularity turned on. Please confirm the Excel settings below","")</f>
        <v>This model now has the circularity turned on. Please confirm the Excel settings below</v>
      </c>
      <c r="G32" s="462"/>
      <c r="H32" s="462"/>
      <c r="N32" s="22"/>
      <c r="P32" s="460" t="s">
        <v>465</v>
      </c>
    </row>
    <row r="33" spans="2:16">
      <c r="B33" s="23"/>
      <c r="C33" s="26"/>
      <c r="D33" s="26"/>
      <c r="F33" s="461" t="str">
        <f>IF($E$32=1,"PC","")</f>
        <v>PC</v>
      </c>
      <c r="G33" s="463" t="str">
        <f>IF($E$32=1,"File - Options - Formulas - Check the box on the top-right labeled 'Enable iterative calculation'.","")</f>
        <v>File - Options - Formulas - Check the box on the top-right labeled 'Enable iterative calculation'.</v>
      </c>
      <c r="H33" s="464"/>
      <c r="N33" s="22"/>
      <c r="P33" s="460" t="s">
        <v>466</v>
      </c>
    </row>
    <row r="34" spans="2:16">
      <c r="B34" s="23"/>
      <c r="F34" s="461" t="str">
        <f>IF($E$32=1,"Mac","")</f>
        <v>Mac</v>
      </c>
      <c r="G34" s="463" t="str">
        <f>IF($E$32=1,"Excel - Preferences - Calculation - Check the box near the bottom labeled 'Use iterative calculation'.","")</f>
        <v>Excel - Preferences - Calculation - Check the box near the bottom labeled 'Use iterative calculation'.</v>
      </c>
      <c r="H34" s="464"/>
      <c r="N34" s="22"/>
    </row>
    <row r="35" spans="2:16">
      <c r="B35" s="23"/>
      <c r="N35" s="22"/>
    </row>
    <row r="36" spans="2:16" ht="10" customHeight="1">
      <c r="B36" s="23"/>
      <c r="C36" s="41" t="s">
        <v>73</v>
      </c>
      <c r="N36" s="22"/>
    </row>
    <row r="37" spans="2:16" ht="10" customHeight="1">
      <c r="B37" s="23"/>
      <c r="C37" s="41" t="s">
        <v>74</v>
      </c>
      <c r="N37" s="22"/>
    </row>
    <row r="38" spans="2:16" ht="10" customHeight="1">
      <c r="B38" s="23"/>
      <c r="C38" s="42" t="s">
        <v>75</v>
      </c>
      <c r="D38" s="36"/>
      <c r="E38" s="36"/>
      <c r="F38" s="36"/>
      <c r="G38" s="36"/>
      <c r="H38" s="36"/>
      <c r="I38" s="36"/>
      <c r="J38" s="36"/>
      <c r="K38" s="36"/>
      <c r="L38" s="36"/>
      <c r="M38" s="37"/>
      <c r="N38" s="22"/>
    </row>
    <row r="39" spans="2:16" ht="10" customHeight="1">
      <c r="B39" s="23"/>
      <c r="C39" s="42" t="s">
        <v>76</v>
      </c>
      <c r="D39" s="36"/>
      <c r="E39" s="36"/>
      <c r="F39" s="36"/>
      <c r="G39" s="36"/>
      <c r="H39" s="36"/>
      <c r="I39" s="36"/>
      <c r="J39" s="36"/>
      <c r="K39" s="36"/>
      <c r="L39" s="36"/>
      <c r="M39" s="37"/>
      <c r="N39" s="22"/>
    </row>
    <row r="40" spans="2:16" ht="10" customHeight="1">
      <c r="B40" s="23"/>
      <c r="C40" s="42" t="s">
        <v>77</v>
      </c>
      <c r="D40" s="36"/>
      <c r="E40" s="36"/>
      <c r="F40" s="36"/>
      <c r="G40" s="36"/>
      <c r="H40" s="36"/>
      <c r="I40" s="36"/>
      <c r="J40" s="36"/>
      <c r="K40" s="36"/>
      <c r="L40" s="36"/>
      <c r="M40" s="36"/>
      <c r="N40" s="22"/>
    </row>
    <row r="41" spans="2:16" ht="10" customHeight="1">
      <c r="B41" s="23"/>
      <c r="C41" s="42" t="s">
        <v>72</v>
      </c>
      <c r="D41" s="36"/>
      <c r="E41" s="36"/>
      <c r="F41" s="36"/>
      <c r="G41" s="36"/>
      <c r="H41" s="36"/>
      <c r="I41" s="36"/>
      <c r="J41" s="36"/>
      <c r="K41" s="36"/>
      <c r="L41" s="36"/>
      <c r="M41" s="36"/>
      <c r="N41" s="22"/>
    </row>
    <row r="42" spans="2:16" ht="10" customHeight="1">
      <c r="B42" s="38"/>
      <c r="C42" s="39"/>
      <c r="D42" s="39"/>
      <c r="E42" s="39"/>
      <c r="F42" s="39"/>
      <c r="G42" s="39"/>
      <c r="H42" s="39"/>
      <c r="I42" s="39"/>
      <c r="J42" s="39"/>
      <c r="K42" s="39"/>
      <c r="L42" s="39"/>
      <c r="M42" s="39"/>
      <c r="N42" s="40"/>
    </row>
  </sheetData>
  <hyperlinks>
    <hyperlink ref="C19" location="Cover!A1" display="Cover" xr:uid="{3B429489-1DE2-C648-92A1-FCC29B75848E}"/>
    <hyperlink ref="C20" location="Summary!A1" display="Summary" xr:uid="{9354455E-FFF7-2644-B08A-5CC0571945D3}"/>
    <hyperlink ref="C21" location="Assumptions!A1" display="Assumptions" xr:uid="{8EDDDDD6-B8A0-764E-BF30-8F0A43B171AE}"/>
    <hyperlink ref="C22" location="Model!A1" display="Model" xr:uid="{6EFE6678-3C26-A24F-92FF-D339E1C5BBC6}"/>
    <hyperlink ref="C15" r:id="rId1" xr:uid="{CFC59F2B-A93C-6A4D-BF06-3D6ED03B2E5F}"/>
    <hyperlink ref="D15" r:id="rId2" xr:uid="{DD0275DF-5CA2-EA4D-8B39-E52822A2DB55}"/>
  </hyperlinks>
  <pageMargins left="0.7" right="0.7" top="0.75" bottom="0.75" header="0.3" footer="0.3"/>
  <pageSetup orientation="portrait" horizontalDpi="0" verticalDpi="0"/>
  <drawing r:id="rId3"/>
  <legacyDrawing r:id="rId4"/>
  <mc:AlternateContent xmlns:mc="http://schemas.openxmlformats.org/markup-compatibility/2006">
    <mc:Choice Requires="x14">
      <controls>
        <mc:AlternateContent xmlns:mc="http://schemas.openxmlformats.org/markup-compatibility/2006">
          <mc:Choice Requires="x14">
            <control shapeId="1025" r:id="rId5" name="Drop Down 1">
              <controlPr defaultSize="0" autoLine="0" autoPict="0">
                <anchor moveWithCells="1">
                  <from>
                    <xdr:col>3</xdr:col>
                    <xdr:colOff>558800</xdr:colOff>
                    <xdr:row>31</xdr:row>
                    <xdr:rowOff>12700</xdr:rowOff>
                  </from>
                  <to>
                    <xdr:col>4</xdr:col>
                    <xdr:colOff>673100</xdr:colOff>
                    <xdr:row>32</xdr:row>
                    <xdr:rowOff>25400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4603-2106-0D4A-8D55-1EAC25E7680F}">
  <sheetPr codeName="Sheet2"/>
  <dimension ref="A2:U1048449"/>
  <sheetViews>
    <sheetView showGridLines="0" tabSelected="1" zoomScaleNormal="134" workbookViewId="0">
      <selection activeCell="R10" sqref="R10"/>
    </sheetView>
  </sheetViews>
  <sheetFormatPr baseColWidth="10" defaultRowHeight="16"/>
  <cols>
    <col min="1" max="1" width="4.83203125" style="1" customWidth="1"/>
    <col min="2" max="14" width="10.83203125" style="1"/>
    <col min="15" max="16" width="10.83203125" style="1" customWidth="1"/>
    <col min="17" max="18" width="10.83203125" style="1"/>
    <col min="19" max="19" width="18.1640625" style="1" bestFit="1" customWidth="1"/>
    <col min="20" max="16384" width="10.83203125" style="1"/>
  </cols>
  <sheetData>
    <row r="2" spans="1:21" ht="24">
      <c r="A2" s="1" t="s">
        <v>160</v>
      </c>
      <c r="B2" s="135" t="s">
        <v>570</v>
      </c>
      <c r="C2" s="136"/>
      <c r="D2" s="136"/>
      <c r="E2" s="137"/>
      <c r="F2" s="137"/>
      <c r="G2" s="137"/>
      <c r="H2" s="137"/>
      <c r="I2" s="137"/>
      <c r="J2" s="137"/>
      <c r="K2" s="137"/>
      <c r="L2" s="137"/>
      <c r="M2" s="137"/>
      <c r="N2" s="137"/>
      <c r="O2" s="137"/>
      <c r="P2" s="137"/>
      <c r="T2" s="636"/>
      <c r="U2" s="636"/>
    </row>
    <row r="3" spans="1:21">
      <c r="B3" s="126"/>
      <c r="C3" s="127"/>
      <c r="D3" s="127"/>
      <c r="E3" s="127"/>
      <c r="F3" s="127"/>
      <c r="G3" s="127"/>
      <c r="H3" s="127"/>
      <c r="I3" s="127"/>
      <c r="J3" s="127"/>
      <c r="K3" s="127"/>
      <c r="L3" s="127"/>
      <c r="M3" s="127"/>
      <c r="N3" s="127"/>
      <c r="O3" s="127"/>
      <c r="P3" s="127"/>
    </row>
    <row r="4" spans="1:21">
      <c r="B4" s="116" t="s">
        <v>132</v>
      </c>
      <c r="C4" s="80"/>
      <c r="D4" s="80"/>
      <c r="E4" s="80"/>
      <c r="F4" s="80"/>
      <c r="G4" s="80"/>
      <c r="H4" s="80"/>
      <c r="I4" s="80"/>
      <c r="J4" s="80"/>
      <c r="K4" s="80"/>
      <c r="L4" s="80"/>
      <c r="M4" s="80"/>
      <c r="N4" s="80"/>
      <c r="O4" s="80"/>
      <c r="P4" s="80"/>
    </row>
    <row r="5" spans="1:21">
      <c r="B5" s="116"/>
      <c r="G5" s="2"/>
    </row>
    <row r="6" spans="1:21">
      <c r="B6" s="635" t="s">
        <v>463</v>
      </c>
      <c r="D6" s="1">
        <v>2</v>
      </c>
      <c r="J6" s="429" t="s">
        <v>452</v>
      </c>
      <c r="K6" s="47"/>
      <c r="L6" s="47"/>
      <c r="M6" s="47"/>
      <c r="N6" s="47"/>
      <c r="O6" s="47"/>
      <c r="P6" s="47"/>
      <c r="R6" s="476" t="s">
        <v>572</v>
      </c>
      <c r="S6" s="476">
        <f>Assumptions!E194-Assumptions!E193</f>
        <v>432.20512820512829</v>
      </c>
    </row>
    <row r="7" spans="1:21">
      <c r="R7" s="476" t="s">
        <v>572</v>
      </c>
      <c r="S7" s="476">
        <f>Assumptions!E193</f>
        <v>513.23931623931628</v>
      </c>
    </row>
    <row r="8" spans="1:21">
      <c r="B8" s="638" t="s">
        <v>575</v>
      </c>
      <c r="J8" s="635" t="s">
        <v>571</v>
      </c>
      <c r="P8" s="636">
        <f>O200</f>
        <v>644.51454713450505</v>
      </c>
      <c r="S8" s="639"/>
    </row>
    <row r="9" spans="1:21">
      <c r="B9" s="635" t="s">
        <v>576</v>
      </c>
      <c r="E9" s="114"/>
      <c r="J9" s="635" t="s">
        <v>536</v>
      </c>
      <c r="P9" s="636">
        <f>Assumptions!K191</f>
        <v>881.91452991452991</v>
      </c>
      <c r="S9" s="639"/>
    </row>
    <row r="10" spans="1:21">
      <c r="B10" s="638" t="s">
        <v>577</v>
      </c>
      <c r="E10" s="114"/>
      <c r="J10" s="635" t="s">
        <v>542</v>
      </c>
      <c r="P10" s="657" t="str">
        <f>O204</f>
        <v>Strong Sell</v>
      </c>
    </row>
    <row r="11" spans="1:21">
      <c r="B11" s="638" t="s">
        <v>578</v>
      </c>
      <c r="J11" s="635" t="s">
        <v>573</v>
      </c>
      <c r="P11" s="636">
        <f>(Assumptions!E192*Assumptions!K191)/1000000</f>
        <v>346842.62704683759</v>
      </c>
    </row>
    <row r="12" spans="1:21">
      <c r="J12" s="635" t="s">
        <v>572</v>
      </c>
      <c r="P12" s="637" t="s">
        <v>574</v>
      </c>
    </row>
    <row r="13" spans="1:21">
      <c r="J13" s="635"/>
      <c r="P13" s="637"/>
    </row>
    <row r="14" spans="1:21">
      <c r="J14" s="635"/>
      <c r="P14" s="637"/>
    </row>
    <row r="16" spans="1:21" ht="24">
      <c r="A16" s="1" t="s">
        <v>160</v>
      </c>
      <c r="B16" s="135" t="s">
        <v>350</v>
      </c>
      <c r="C16" s="136"/>
      <c r="D16" s="136"/>
      <c r="E16" s="137"/>
      <c r="F16" s="137"/>
      <c r="G16" s="137"/>
      <c r="H16" s="137"/>
      <c r="I16" s="137"/>
      <c r="J16" s="137"/>
      <c r="K16" s="137"/>
      <c r="L16" s="137"/>
      <c r="M16" s="137"/>
      <c r="N16" s="137"/>
      <c r="O16" s="137"/>
      <c r="P16" s="137"/>
    </row>
    <row r="17" spans="2:16">
      <c r="B17" s="126"/>
      <c r="C17" s="127"/>
      <c r="D17" s="127"/>
      <c r="E17" s="127"/>
      <c r="F17" s="127"/>
      <c r="G17" s="127"/>
      <c r="H17" s="127"/>
      <c r="I17" s="127"/>
      <c r="J17" s="127"/>
      <c r="K17" s="127"/>
      <c r="L17" s="127"/>
      <c r="M17" s="127"/>
      <c r="N17" s="127"/>
      <c r="O17" s="127"/>
      <c r="P17" s="127"/>
    </row>
    <row r="18" spans="2:16">
      <c r="B18" s="116" t="s">
        <v>132</v>
      </c>
      <c r="G18" s="2"/>
    </row>
    <row r="19" spans="2:16">
      <c r="B19" s="115" t="str">
        <f>CONCATENATE("Running ", CHOOSE(Assumptions!$B$7,Assumptions!$B$13,Assumptions!$B$14,Assumptions!$B$15)," Model")</f>
        <v>Running Base Case Model</v>
      </c>
      <c r="K19" s="47" t="s">
        <v>86</v>
      </c>
      <c r="L19" s="47"/>
      <c r="M19" s="47"/>
      <c r="N19" s="47"/>
      <c r="O19" s="47"/>
      <c r="P19" s="47"/>
    </row>
    <row r="20" spans="2:16">
      <c r="B20" s="110"/>
      <c r="E20" s="43" t="s">
        <v>38</v>
      </c>
      <c r="F20" s="43" t="s">
        <v>10</v>
      </c>
      <c r="G20" s="44" t="s">
        <v>11</v>
      </c>
      <c r="H20" s="44" t="s">
        <v>12</v>
      </c>
      <c r="I20" s="44" t="s">
        <v>13</v>
      </c>
      <c r="J20" s="44" t="s">
        <v>14</v>
      </c>
      <c r="K20" s="44" t="s">
        <v>15</v>
      </c>
      <c r="L20" s="44" t="s">
        <v>78</v>
      </c>
      <c r="M20" s="44" t="s">
        <v>79</v>
      </c>
      <c r="N20" s="44" t="s">
        <v>80</v>
      </c>
      <c r="O20" s="44" t="s">
        <v>81</v>
      </c>
      <c r="P20" s="44" t="s">
        <v>295</v>
      </c>
    </row>
    <row r="22" spans="2:16">
      <c r="B22" s="3" t="s">
        <v>250</v>
      </c>
    </row>
    <row r="24" spans="2:16" s="3" customFormat="1">
      <c r="B24" s="3" t="s">
        <v>0</v>
      </c>
      <c r="E24" s="56">
        <f>Model!F8</f>
        <v>11820</v>
      </c>
      <c r="F24" s="56">
        <f>Model!G8</f>
        <v>13978.5</v>
      </c>
      <c r="G24" s="56">
        <f>Model!H8</f>
        <v>18611</v>
      </c>
      <c r="H24" s="56">
        <f>Model!I8</f>
        <v>21173.4</v>
      </c>
      <c r="I24" s="56">
        <f>Model!J8</f>
        <v>27558.5</v>
      </c>
      <c r="J24" s="56">
        <f>Model!K8</f>
        <v>28262.9</v>
      </c>
      <c r="K24" s="102">
        <f>Model!L8</f>
        <v>33369.865684491982</v>
      </c>
      <c r="L24" s="102">
        <f>Model!M8</f>
        <v>38058.160173262033</v>
      </c>
      <c r="M24" s="102">
        <f>Model!N8</f>
        <v>41882.535679657223</v>
      </c>
      <c r="N24" s="102">
        <f>Model!O8</f>
        <v>46205.407440946183</v>
      </c>
      <c r="O24" s="102">
        <f>Model!P8</f>
        <v>51071.726850788938</v>
      </c>
      <c r="P24" s="102">
        <f>Model!Q8</f>
        <v>53049.841730122265</v>
      </c>
    </row>
    <row r="25" spans="2:16" s="108" customFormat="1">
      <c r="B25" s="424" t="s">
        <v>442</v>
      </c>
      <c r="E25" s="425"/>
      <c r="F25" s="425">
        <f>F24/E24-1</f>
        <v>0.18261421319796955</v>
      </c>
      <c r="G25" s="425">
        <f t="shared" ref="G25:P25" si="0">G24/F24-1</f>
        <v>0.33140179561469396</v>
      </c>
      <c r="H25" s="425">
        <f t="shared" si="0"/>
        <v>0.137682016012036</v>
      </c>
      <c r="I25" s="425">
        <f t="shared" si="0"/>
        <v>0.30156233765007023</v>
      </c>
      <c r="J25" s="425">
        <f t="shared" si="0"/>
        <v>2.5560171997750292E-2</v>
      </c>
      <c r="K25" s="426">
        <f t="shared" si="0"/>
        <v>0.18069503428494538</v>
      </c>
      <c r="L25" s="426">
        <f t="shared" si="0"/>
        <v>0.1404948564401578</v>
      </c>
      <c r="M25" s="426">
        <f t="shared" si="0"/>
        <v>0.10048766122651465</v>
      </c>
      <c r="N25" s="426">
        <f t="shared" si="0"/>
        <v>0.10321418441215879</v>
      </c>
      <c r="O25" s="426">
        <f t="shared" si="0"/>
        <v>0.1053192619513692</v>
      </c>
      <c r="P25" s="426">
        <f t="shared" si="0"/>
        <v>3.8732093103344356E-2</v>
      </c>
    </row>
    <row r="26" spans="2:16">
      <c r="B26" s="110"/>
      <c r="E26" s="51"/>
      <c r="F26" s="51"/>
      <c r="G26" s="51"/>
      <c r="H26" s="51"/>
      <c r="I26" s="51"/>
      <c r="J26" s="51"/>
      <c r="K26" s="51"/>
      <c r="L26" s="51"/>
      <c r="M26" s="51"/>
      <c r="N26" s="51"/>
      <c r="O26" s="51"/>
      <c r="P26" s="51"/>
    </row>
    <row r="27" spans="2:16" s="3" customFormat="1">
      <c r="B27" s="3" t="s">
        <v>1</v>
      </c>
      <c r="E27" s="56">
        <f>Model!F18</f>
        <v>3545</v>
      </c>
      <c r="F27" s="56">
        <f>Model!G18</f>
        <v>5162.2000000000007</v>
      </c>
      <c r="G27" s="56">
        <f>Model!H18</f>
        <v>7906.4999999999991</v>
      </c>
      <c r="H27" s="56">
        <f>Model!I18</f>
        <v>8196.9</v>
      </c>
      <c r="I27" s="56">
        <f>Model!J18</f>
        <v>10559.4</v>
      </c>
      <c r="J27" s="56">
        <f>Model!K18</f>
        <v>11137.2</v>
      </c>
      <c r="K27" s="102">
        <f>Model!L18</f>
        <v>14105.320448767765</v>
      </c>
      <c r="L27" s="102">
        <f>Model!M18</f>
        <v>16932.982670204121</v>
      </c>
      <c r="M27" s="102">
        <f>Model!N18</f>
        <v>19158.799177211738</v>
      </c>
      <c r="N27" s="102">
        <f>Model!O18</f>
        <v>21710.718011869641</v>
      </c>
      <c r="O27" s="102">
        <f>Model!P18</f>
        <v>24541.579965824272</v>
      </c>
      <c r="P27" s="102">
        <f>Model!Q18</f>
        <v>25508.788234516935</v>
      </c>
    </row>
    <row r="28" spans="2:16" s="108" customFormat="1">
      <c r="B28" s="424" t="s">
        <v>443</v>
      </c>
      <c r="E28" s="425">
        <f>E27/E$24</f>
        <v>0.29991539763113367</v>
      </c>
      <c r="F28" s="425">
        <f t="shared" ref="F28:P28" si="1">F27/F$24</f>
        <v>0.36929570411703694</v>
      </c>
      <c r="G28" s="425">
        <f t="shared" si="1"/>
        <v>0.42482940196657887</v>
      </c>
      <c r="H28" s="425">
        <f t="shared" si="1"/>
        <v>0.38713196746861622</v>
      </c>
      <c r="I28" s="425">
        <f t="shared" si="1"/>
        <v>0.38316308942794419</v>
      </c>
      <c r="J28" s="425">
        <f t="shared" si="1"/>
        <v>0.3940572269653857</v>
      </c>
      <c r="K28" s="426">
        <f t="shared" si="1"/>
        <v>0.42269635071749623</v>
      </c>
      <c r="L28" s="426">
        <f t="shared" si="1"/>
        <v>0.44492383744026809</v>
      </c>
      <c r="M28" s="426">
        <f t="shared" si="1"/>
        <v>0.45744124290252475</v>
      </c>
      <c r="N28" s="426">
        <f t="shared" si="1"/>
        <v>0.46987396528463671</v>
      </c>
      <c r="O28" s="426">
        <f t="shared" si="1"/>
        <v>0.4805316263835156</v>
      </c>
      <c r="P28" s="426">
        <f t="shared" si="1"/>
        <v>0.48084569911228919</v>
      </c>
    </row>
    <row r="29" spans="2:16" s="108" customFormat="1">
      <c r="B29" s="424" t="s">
        <v>442</v>
      </c>
      <c r="E29" s="425"/>
      <c r="F29" s="425">
        <f t="shared" ref="F29:P29" si="2">F27/E27-1</f>
        <v>0.45619181946403398</v>
      </c>
      <c r="G29" s="425">
        <f t="shared" si="2"/>
        <v>0.53161442795707226</v>
      </c>
      <c r="H29" s="425">
        <f t="shared" si="2"/>
        <v>3.6729273382659855E-2</v>
      </c>
      <c r="I29" s="425">
        <f t="shared" si="2"/>
        <v>0.28821871683197298</v>
      </c>
      <c r="J29" s="425">
        <f t="shared" si="2"/>
        <v>5.4719018126029972E-2</v>
      </c>
      <c r="K29" s="426">
        <f t="shared" si="2"/>
        <v>0.26650508644612336</v>
      </c>
      <c r="L29" s="426">
        <f t="shared" si="2"/>
        <v>0.20046777609248712</v>
      </c>
      <c r="M29" s="426">
        <f t="shared" si="2"/>
        <v>0.1314485788097004</v>
      </c>
      <c r="N29" s="426">
        <f t="shared" si="2"/>
        <v>0.1331982662928719</v>
      </c>
      <c r="O29" s="426">
        <f t="shared" si="2"/>
        <v>0.13039006597602842</v>
      </c>
      <c r="P29" s="426">
        <f t="shared" si="2"/>
        <v>3.9411002471705592E-2</v>
      </c>
    </row>
    <row r="30" spans="2:16">
      <c r="E30" s="51"/>
      <c r="F30" s="51"/>
      <c r="G30" s="51"/>
      <c r="H30" s="51"/>
      <c r="I30" s="51"/>
      <c r="J30" s="51"/>
      <c r="K30" s="51"/>
      <c r="L30" s="51"/>
      <c r="M30" s="51"/>
      <c r="N30" s="51"/>
      <c r="O30" s="51"/>
      <c r="P30" s="51"/>
    </row>
    <row r="31" spans="2:16" s="3" customFormat="1">
      <c r="B31" s="3" t="s">
        <v>4</v>
      </c>
      <c r="E31" s="56">
        <f>Model!F28</f>
        <v>2581.1000000000004</v>
      </c>
      <c r="F31" s="56">
        <f>Model!G28</f>
        <v>3696.8000000000015</v>
      </c>
      <c r="G31" s="56">
        <f>Model!H28</f>
        <v>6134.5999999999985</v>
      </c>
      <c r="H31" s="56">
        <f>Model!I28</f>
        <v>6395.7999999999993</v>
      </c>
      <c r="I31" s="56">
        <f>Model!J28</f>
        <v>8115.2000000000007</v>
      </c>
      <c r="J31" s="56">
        <f>Model!K28</f>
        <v>8349</v>
      </c>
      <c r="K31" s="102">
        <f ca="1">Model!L28</f>
        <v>9840.4293974879165</v>
      </c>
      <c r="L31" s="102">
        <f ca="1">Model!M28</f>
        <v>11910.119140891804</v>
      </c>
      <c r="M31" s="102">
        <f ca="1">Model!N28</f>
        <v>13619.102048535924</v>
      </c>
      <c r="N31" s="102">
        <f ca="1">Model!O28</f>
        <v>15625.863275368258</v>
      </c>
      <c r="O31" s="102">
        <f ca="1">Model!P28</f>
        <v>17892.585577642392</v>
      </c>
      <c r="P31" s="102">
        <f ca="1">Model!Q28</f>
        <v>19008.455949612446</v>
      </c>
    </row>
    <row r="32" spans="2:16" s="108" customFormat="1">
      <c r="B32" s="424" t="s">
        <v>443</v>
      </c>
      <c r="E32" s="425">
        <f>E31/E$24</f>
        <v>0.2183671742808799</v>
      </c>
      <c r="F32" s="425">
        <f t="shared" ref="F32" si="3">F31/F$24</f>
        <v>0.26446328289873744</v>
      </c>
      <c r="G32" s="425">
        <f t="shared" ref="G32" si="4">G31/G$24</f>
        <v>0.32962226640159037</v>
      </c>
      <c r="H32" s="425">
        <f t="shared" ref="H32" si="5">H31/H$24</f>
        <v>0.30206768870375089</v>
      </c>
      <c r="I32" s="425">
        <f t="shared" ref="I32" si="6">I31/I$24</f>
        <v>0.29447176007402437</v>
      </c>
      <c r="J32" s="425">
        <f t="shared" ref="J32" si="7">J31/J$24</f>
        <v>0.29540493013809621</v>
      </c>
      <c r="K32" s="426">
        <f t="shared" ref="K32" ca="1" si="8">K31/K$24</f>
        <v>0.29488969151173633</v>
      </c>
      <c r="L32" s="426">
        <f t="shared" ref="L32" ca="1" si="9">L31/L$24</f>
        <v>0.31294521560344168</v>
      </c>
      <c r="M32" s="426">
        <f t="shared" ref="M32" ca="1" si="10">M31/M$24</f>
        <v>0.32517377058311353</v>
      </c>
      <c r="N32" s="426">
        <f t="shared" ref="N32" ca="1" si="11">N31/N$24</f>
        <v>0.33818256651754947</v>
      </c>
      <c r="O32" s="426">
        <f t="shared" ref="O32" ca="1" si="12">O31/O$24</f>
        <v>0.35034228683743818</v>
      </c>
      <c r="P32" s="426">
        <f t="shared" ref="P32" ca="1" si="13">P31/P$24</f>
        <v>0.35831315098569355</v>
      </c>
    </row>
    <row r="33" spans="2:16" s="108" customFormat="1">
      <c r="B33" s="424" t="s">
        <v>442</v>
      </c>
      <c r="E33" s="425"/>
      <c r="F33" s="425">
        <f t="shared" ref="F33:P33" si="14">F31/E31-1</f>
        <v>0.43225756460423881</v>
      </c>
      <c r="G33" s="425">
        <f t="shared" si="14"/>
        <v>0.65943518718891903</v>
      </c>
      <c r="H33" s="425">
        <f t="shared" si="14"/>
        <v>4.2578163205425179E-2</v>
      </c>
      <c r="I33" s="425">
        <f t="shared" si="14"/>
        <v>0.26883267144063328</v>
      </c>
      <c r="J33" s="425">
        <f t="shared" si="14"/>
        <v>2.8810134069400473E-2</v>
      </c>
      <c r="K33" s="426">
        <f t="shared" ca="1" si="14"/>
        <v>0.17863569259646872</v>
      </c>
      <c r="L33" s="426">
        <f t="shared" ca="1" si="14"/>
        <v>0.21032514535719771</v>
      </c>
      <c r="M33" s="426">
        <f t="shared" ca="1" si="14"/>
        <v>0.14348999262119522</v>
      </c>
      <c r="N33" s="426">
        <f t="shared" ca="1" si="14"/>
        <v>0.14734901168084447</v>
      </c>
      <c r="O33" s="426">
        <f t="shared" ca="1" si="14"/>
        <v>0.14506221271289821</v>
      </c>
      <c r="P33" s="426">
        <f t="shared" ca="1" si="14"/>
        <v>6.2364959336250747E-2</v>
      </c>
    </row>
    <row r="34" spans="2:16">
      <c r="B34" s="424"/>
      <c r="E34" s="51"/>
      <c r="F34" s="51"/>
      <c r="G34" s="51"/>
      <c r="H34" s="51"/>
      <c r="I34" s="51"/>
      <c r="J34" s="51"/>
      <c r="K34" s="51"/>
      <c r="L34" s="51"/>
      <c r="M34" s="51"/>
      <c r="N34" s="51"/>
      <c r="O34" s="51"/>
      <c r="P34" s="51"/>
    </row>
    <row r="35" spans="2:16">
      <c r="B35" s="3" t="s">
        <v>448</v>
      </c>
      <c r="E35" s="51"/>
      <c r="F35" s="51"/>
      <c r="G35" s="51"/>
      <c r="H35" s="51"/>
      <c r="I35" s="51"/>
      <c r="J35" s="51"/>
      <c r="K35" s="51"/>
      <c r="L35" s="51"/>
      <c r="M35" s="51"/>
      <c r="N35" s="51"/>
      <c r="O35" s="51"/>
      <c r="P35" s="51"/>
    </row>
    <row r="36" spans="2:16">
      <c r="E36" s="51"/>
      <c r="F36" s="51"/>
      <c r="G36" s="51"/>
      <c r="H36" s="51"/>
      <c r="I36" s="51"/>
      <c r="J36" s="51"/>
      <c r="K36" s="51"/>
      <c r="L36" s="51"/>
      <c r="M36" s="51"/>
      <c r="N36" s="51"/>
      <c r="O36" s="51"/>
      <c r="P36" s="51"/>
    </row>
    <row r="37" spans="2:16">
      <c r="B37" s="110" t="s">
        <v>444</v>
      </c>
      <c r="E37" s="51">
        <f>Model!F49</f>
        <v>3655.1</v>
      </c>
      <c r="F37" s="51">
        <f>Model!G49</f>
        <v>5306.6</v>
      </c>
      <c r="G37" s="51">
        <f>Model!H49</f>
        <v>11592.6</v>
      </c>
      <c r="H37" s="51">
        <f>Model!I49</f>
        <v>9434.9000000000015</v>
      </c>
      <c r="I37" s="51">
        <f>Model!J49</f>
        <v>6536.2000000000016</v>
      </c>
      <c r="J37" s="51">
        <f>Model!K49</f>
        <v>12369.700000000003</v>
      </c>
      <c r="K37" s="100">
        <f ca="1">Model!L49</f>
        <v>10093.427183601769</v>
      </c>
      <c r="L37" s="100">
        <f ca="1">Model!M49</f>
        <v>16154.418421399951</v>
      </c>
      <c r="M37" s="100">
        <f ca="1">Model!N49</f>
        <v>17768.778911299869</v>
      </c>
      <c r="N37" s="100">
        <f ca="1">Model!O49</f>
        <v>20491.218753374134</v>
      </c>
      <c r="O37" s="100">
        <f ca="1">Model!P49</f>
        <v>22662.164848105065</v>
      </c>
      <c r="P37" s="100">
        <f ca="1">Model!Q49</f>
        <v>20404.95754701355</v>
      </c>
    </row>
    <row r="38" spans="2:16">
      <c r="B38" s="110" t="s">
        <v>445</v>
      </c>
      <c r="E38" s="51">
        <f>Model!F56</f>
        <v>-1463.1</v>
      </c>
      <c r="F38" s="51">
        <f>Model!G56</f>
        <v>-1972.3000000000002</v>
      </c>
      <c r="G38" s="51">
        <f>Model!H56</f>
        <v>-757.4</v>
      </c>
      <c r="H38" s="51">
        <f>Model!I56</f>
        <v>-1922</v>
      </c>
      <c r="I38" s="51">
        <f>Model!J56</f>
        <v>-3634.6</v>
      </c>
      <c r="J38" s="51">
        <f>Model!K56</f>
        <v>-3731.8</v>
      </c>
      <c r="K38" s="100">
        <f>Model!L56</f>
        <v>-3770.685225294118</v>
      </c>
      <c r="L38" s="100">
        <f>Model!M56</f>
        <v>-3905.816017326204</v>
      </c>
      <c r="M38" s="100">
        <f>Model!N56</f>
        <v>-3869.42821116915</v>
      </c>
      <c r="N38" s="100">
        <f>Model!O56</f>
        <v>-3796.4325952756944</v>
      </c>
      <c r="O38" s="100">
        <f>Model!P56</f>
        <v>-3675.0208795552262</v>
      </c>
      <c r="P38" s="100">
        <f>Model!Q56</f>
        <v>-3548.239712457947</v>
      </c>
    </row>
    <row r="39" spans="2:16">
      <c r="B39" s="110" t="s">
        <v>446</v>
      </c>
      <c r="E39" s="51">
        <f>Model!F62</f>
        <v>-1785.4</v>
      </c>
      <c r="F39" s="51">
        <f>Model!G62</f>
        <v>-811.90000000000009</v>
      </c>
      <c r="G39" s="51">
        <f>Model!H62</f>
        <v>-9953.0999999999985</v>
      </c>
      <c r="H39" s="51">
        <f>Model!I62</f>
        <v>-7193.3</v>
      </c>
      <c r="I39" s="51">
        <f>Model!J62</f>
        <v>-3151.4</v>
      </c>
      <c r="J39" s="51">
        <f>Model!K62</f>
        <v>-2913.1</v>
      </c>
      <c r="K39" s="100">
        <f ca="1">Model!L62</f>
        <v>-4645.620231296617</v>
      </c>
      <c r="L39" s="100">
        <f ca="1">Model!M62</f>
        <v>-4214.8333594497053</v>
      </c>
      <c r="M39" s="100">
        <f ca="1">Model!N62</f>
        <v>-4829.5395940754179</v>
      </c>
      <c r="N39" s="100">
        <f ca="1">Model!O62</f>
        <v>-5411.5003498567949</v>
      </c>
      <c r="O39" s="100">
        <f ca="1">Model!P62</f>
        <v>-6247.7756732927173</v>
      </c>
      <c r="P39" s="100">
        <f ca="1">Model!Q62</f>
        <v>-5702.5367848837332</v>
      </c>
    </row>
    <row r="40" spans="2:16" s="3" customFormat="1">
      <c r="B40" s="3" t="s">
        <v>447</v>
      </c>
      <c r="E40" s="193">
        <f>SUM(E37:E39)</f>
        <v>406.59999999999991</v>
      </c>
      <c r="F40" s="193">
        <f t="shared" ref="F40:P40" si="15">SUM(F37:F39)</f>
        <v>2522.4</v>
      </c>
      <c r="G40" s="193">
        <f t="shared" si="15"/>
        <v>882.10000000000218</v>
      </c>
      <c r="H40" s="193">
        <f t="shared" si="15"/>
        <v>319.60000000000127</v>
      </c>
      <c r="I40" s="193">
        <f t="shared" si="15"/>
        <v>-249.79999999999836</v>
      </c>
      <c r="J40" s="193">
        <f t="shared" si="15"/>
        <v>5724.8000000000011</v>
      </c>
      <c r="K40" s="134">
        <f t="shared" ca="1" si="15"/>
        <v>1677.1217270110337</v>
      </c>
      <c r="L40" s="134">
        <f t="shared" ca="1" si="15"/>
        <v>8033.7690446240413</v>
      </c>
      <c r="M40" s="134">
        <f t="shared" ca="1" si="15"/>
        <v>9069.8111060553019</v>
      </c>
      <c r="N40" s="134">
        <f t="shared" ca="1" si="15"/>
        <v>11283.285808241644</v>
      </c>
      <c r="O40" s="134">
        <f t="shared" ca="1" si="15"/>
        <v>12739.368295257123</v>
      </c>
      <c r="P40" s="134">
        <f t="shared" ca="1" si="15"/>
        <v>11154.181049671868</v>
      </c>
    </row>
    <row r="43" spans="2:16">
      <c r="B43" s="429" t="s">
        <v>250</v>
      </c>
      <c r="C43" s="47"/>
      <c r="D43" s="47"/>
      <c r="E43" s="47"/>
      <c r="F43" s="47"/>
      <c r="G43" s="47"/>
      <c r="H43" s="47"/>
      <c r="J43" s="429" t="s">
        <v>448</v>
      </c>
      <c r="K43" s="47"/>
      <c r="L43" s="47"/>
      <c r="M43" s="47"/>
      <c r="N43" s="47"/>
      <c r="O43" s="47"/>
      <c r="P43" s="47"/>
    </row>
    <row r="63" spans="1:16" ht="24">
      <c r="A63" s="1" t="s">
        <v>160</v>
      </c>
      <c r="B63" s="135" t="s">
        <v>449</v>
      </c>
      <c r="C63" s="136"/>
      <c r="D63" s="136"/>
      <c r="E63" s="137"/>
      <c r="F63" s="137"/>
      <c r="G63" s="137"/>
      <c r="H63" s="137"/>
      <c r="I63" s="137"/>
      <c r="J63" s="137"/>
      <c r="K63" s="137"/>
      <c r="L63" s="137"/>
      <c r="M63" s="137"/>
      <c r="N63" s="137"/>
      <c r="O63" s="137"/>
      <c r="P63" s="137"/>
    </row>
    <row r="64" spans="1:16">
      <c r="B64" s="126"/>
      <c r="C64" s="127"/>
      <c r="D64" s="127"/>
      <c r="E64" s="127"/>
      <c r="F64" s="127"/>
      <c r="G64" s="127"/>
      <c r="H64" s="127"/>
      <c r="I64" s="127"/>
      <c r="J64" s="127"/>
      <c r="K64" s="127"/>
      <c r="L64" s="127"/>
      <c r="M64" s="127"/>
      <c r="N64" s="127"/>
      <c r="O64" s="127"/>
      <c r="P64" s="127"/>
    </row>
    <row r="65" spans="2:16">
      <c r="B65" s="116" t="s">
        <v>132</v>
      </c>
      <c r="G65" s="2"/>
    </row>
    <row r="66" spans="2:16">
      <c r="B66" s="115" t="str">
        <f>CONCATENATE("Running ", CHOOSE(Assumptions!$B$7,Assumptions!$B$13,Assumptions!$B$14,Assumptions!$B$15)," Model")</f>
        <v>Running Base Case Model</v>
      </c>
      <c r="K66" s="4"/>
      <c r="L66" s="4"/>
      <c r="M66" s="4"/>
      <c r="N66" s="4"/>
      <c r="O66" s="4"/>
      <c r="P66" s="4"/>
    </row>
    <row r="67" spans="2:16">
      <c r="B67" s="115"/>
      <c r="K67" s="4"/>
      <c r="L67" s="4"/>
      <c r="M67" s="4"/>
      <c r="N67" s="4"/>
      <c r="O67" s="4"/>
      <c r="P67" s="4"/>
    </row>
    <row r="69" spans="2:16">
      <c r="B69" s="429" t="s">
        <v>450</v>
      </c>
      <c r="C69" s="47"/>
      <c r="D69" s="47"/>
      <c r="E69" s="47"/>
      <c r="F69" s="47"/>
      <c r="G69" s="47"/>
      <c r="H69" s="47"/>
      <c r="J69" s="429" t="s">
        <v>452</v>
      </c>
      <c r="K69" s="47"/>
      <c r="L69" s="47"/>
      <c r="M69" s="47"/>
      <c r="N69" s="47"/>
      <c r="O69" s="47"/>
      <c r="P69" s="47"/>
    </row>
    <row r="71" spans="2:16">
      <c r="D71" s="430" t="s">
        <v>336</v>
      </c>
      <c r="E71" s="430" t="s">
        <v>35</v>
      </c>
      <c r="F71" s="430" t="s">
        <v>321</v>
      </c>
      <c r="G71" s="430"/>
    </row>
    <row r="72" spans="2:16">
      <c r="C72" s="45"/>
      <c r="D72" s="500" t="s">
        <v>337</v>
      </c>
      <c r="E72" s="500" t="s">
        <v>337</v>
      </c>
      <c r="F72" s="500" t="s">
        <v>451</v>
      </c>
      <c r="G72" s="500"/>
      <c r="J72" s="1" t="s">
        <v>299</v>
      </c>
      <c r="P72" s="401">
        <f>Assumptions!$E$190</f>
        <v>0.03</v>
      </c>
    </row>
    <row r="73" spans="2:16">
      <c r="B73" s="501"/>
      <c r="D73" s="475">
        <f ca="1">Model!$E$611</f>
        <v>221609.68771319379</v>
      </c>
      <c r="E73" s="431"/>
      <c r="F73" s="431"/>
      <c r="J73" s="1" t="s">
        <v>303</v>
      </c>
      <c r="P73" s="217">
        <f>Assumptions!$M$238</f>
        <v>9.3293645512787945E-2</v>
      </c>
    </row>
    <row r="74" spans="2:16">
      <c r="B74" s="504" t="s">
        <v>87</v>
      </c>
      <c r="C74" s="502">
        <v>1</v>
      </c>
      <c r="D74" s="431">
        <f t="dataTable" ref="D74:D76" dt2D="0" dtr="0" r1="D6" ca="1"/>
        <v>333777.57296058931</v>
      </c>
      <c r="E74" s="431">
        <f>D74-$P$74</f>
        <v>341825.8729605893</v>
      </c>
      <c r="F74" s="477">
        <f>E74/$P$75</f>
        <v>869.15846137894869</v>
      </c>
      <c r="J74" s="1" t="s">
        <v>453</v>
      </c>
      <c r="M74" s="153" t="s">
        <v>455</v>
      </c>
      <c r="P74" s="51">
        <f>SUM(Model!$K$106,Model!$K$101)-Model!$K$80</f>
        <v>-8048.2999999999993</v>
      </c>
    </row>
    <row r="75" spans="2:16">
      <c r="B75" s="504" t="s">
        <v>88</v>
      </c>
      <c r="C75" s="502">
        <v>2</v>
      </c>
      <c r="D75" s="431">
        <v>221609.68769933717</v>
      </c>
      <c r="E75" s="431">
        <f>D75-$P$74</f>
        <v>229657.98769933716</v>
      </c>
      <c r="F75" s="477">
        <f>E75/$P$75</f>
        <v>583.94989678021034</v>
      </c>
      <c r="J75" s="1" t="s">
        <v>322</v>
      </c>
      <c r="M75" s="153" t="s">
        <v>456</v>
      </c>
      <c r="P75" s="428">
        <f>Assumptions!$E$192/1000000</f>
        <v>393.28372000000002</v>
      </c>
    </row>
    <row r="76" spans="2:16">
      <c r="B76" s="504" t="s">
        <v>89</v>
      </c>
      <c r="C76" s="502">
        <v>3</v>
      </c>
      <c r="D76" s="431">
        <v>174976.48778535778</v>
      </c>
      <c r="E76" s="431">
        <f>D76-$P$74</f>
        <v>183024.78778535777</v>
      </c>
      <c r="F76" s="477">
        <f>E76/$P$75</f>
        <v>465.37595755389458</v>
      </c>
      <c r="J76" s="1" t="s">
        <v>454</v>
      </c>
      <c r="M76" s="153" t="s">
        <v>457</v>
      </c>
      <c r="P76" s="1">
        <f>Assumptions!$K$191</f>
        <v>881.91452991452991</v>
      </c>
    </row>
    <row r="80" spans="2:16">
      <c r="B80" s="429" t="s">
        <v>461</v>
      </c>
      <c r="C80" s="47"/>
      <c r="D80" s="47"/>
      <c r="E80" s="47"/>
      <c r="F80" s="47"/>
      <c r="G80" s="47"/>
      <c r="H80" s="47"/>
      <c r="J80" s="429" t="s">
        <v>392</v>
      </c>
      <c r="K80" s="47"/>
      <c r="L80" s="47"/>
      <c r="M80" s="47"/>
      <c r="N80" s="47"/>
      <c r="O80" s="47"/>
      <c r="P80" s="47"/>
    </row>
    <row r="82" spans="2:16">
      <c r="B82" s="432"/>
      <c r="C82" s="433"/>
      <c r="D82" s="434" t="s">
        <v>299</v>
      </c>
      <c r="E82" s="435"/>
      <c r="F82" s="449"/>
      <c r="G82" s="435"/>
      <c r="H82" s="435"/>
      <c r="J82" s="432"/>
      <c r="K82" s="433"/>
      <c r="L82" s="434" t="s">
        <v>299</v>
      </c>
      <c r="M82" s="435"/>
      <c r="N82" s="449"/>
      <c r="O82" s="435"/>
      <c r="P82" s="435"/>
    </row>
    <row r="83" spans="2:16">
      <c r="B83" s="436"/>
      <c r="C83" s="437">
        <f ca="1">Model!E611</f>
        <v>221609.68771319379</v>
      </c>
      <c r="D83" s="438">
        <f>E83-0.005</f>
        <v>1.9999999999999997E-2</v>
      </c>
      <c r="E83" s="438">
        <f>F83-0.005</f>
        <v>2.4999999999999998E-2</v>
      </c>
      <c r="F83" s="438">
        <f>Assumptions!$E$190</f>
        <v>0.03</v>
      </c>
      <c r="G83" s="438">
        <f>F83+0.005</f>
        <v>3.4999999999999996E-2</v>
      </c>
      <c r="H83" s="438">
        <f>G83+0.005</f>
        <v>3.9999999999999994E-2</v>
      </c>
      <c r="J83" s="436"/>
      <c r="K83" s="437"/>
      <c r="L83" s="438">
        <f>M83-0.005</f>
        <v>1.9999999999999997E-2</v>
      </c>
      <c r="M83" s="438">
        <f>N83-0.005</f>
        <v>2.4999999999999998E-2</v>
      </c>
      <c r="N83" s="438">
        <f>Assumptions!$E$190</f>
        <v>0.03</v>
      </c>
      <c r="O83" s="438">
        <f>N83+0.005</f>
        <v>3.4999999999999996E-2</v>
      </c>
      <c r="P83" s="438">
        <f>O83+0.005</f>
        <v>3.9999999999999994E-2</v>
      </c>
    </row>
    <row r="84" spans="2:16">
      <c r="B84" s="656" t="s">
        <v>303</v>
      </c>
      <c r="C84" s="438">
        <f>C85-0.01</f>
        <v>7.3293645512787955E-2</v>
      </c>
      <c r="D84" s="439">
        <f t="dataTable" ref="D84:H88" dt2D="1" dtr="1" r1="P72" r2="P73" ca="1"/>
        <v>274794.70432913187</v>
      </c>
      <c r="E84" s="440">
        <v>298002.84084232984</v>
      </c>
      <c r="F84" s="440">
        <v>326571.61082455219</v>
      </c>
      <c r="G84" s="440">
        <v>362600.8274682656</v>
      </c>
      <c r="H84" s="441">
        <v>409451.6937357412</v>
      </c>
      <c r="J84" s="656" t="s">
        <v>303</v>
      </c>
      <c r="K84" s="438">
        <f>K85-0.01</f>
        <v>7.3293645512787955E-2</v>
      </c>
      <c r="L84" s="478">
        <f t="shared" ref="L84:P88" si="16">D95/$P$75</f>
        <v>719.18309847438343</v>
      </c>
      <c r="M84" s="479">
        <f t="shared" si="16"/>
        <v>778.1942787825792</v>
      </c>
      <c r="N84" s="479">
        <f t="shared" si="16"/>
        <v>850.83590753401177</v>
      </c>
      <c r="O84" s="479">
        <f t="shared" si="16"/>
        <v>942.44716630595735</v>
      </c>
      <c r="P84" s="480">
        <f t="shared" si="16"/>
        <v>1061.5745643774453</v>
      </c>
    </row>
    <row r="85" spans="2:16">
      <c r="B85" s="656"/>
      <c r="C85" s="438">
        <f>C86-0.01</f>
        <v>8.329364551278795E-2</v>
      </c>
      <c r="D85" s="442">
        <v>230275.20577143657</v>
      </c>
      <c r="E85" s="443">
        <v>245802.84784512609</v>
      </c>
      <c r="F85" s="443">
        <v>264244.09095403913</v>
      </c>
      <c r="G85" s="443">
        <v>286503.89919985604</v>
      </c>
      <c r="H85" s="444">
        <v>313905.2953120129</v>
      </c>
      <c r="J85" s="656"/>
      <c r="K85" s="438">
        <f>K86-0.01</f>
        <v>8.329364551278795E-2</v>
      </c>
      <c r="L85" s="481">
        <f t="shared" si="16"/>
        <v>605.98365417067487</v>
      </c>
      <c r="M85" s="482">
        <f t="shared" si="16"/>
        <v>645.46569038028338</v>
      </c>
      <c r="N85" s="482">
        <f t="shared" si="16"/>
        <v>692.35612131119774</v>
      </c>
      <c r="O85" s="482">
        <f t="shared" si="16"/>
        <v>748.95599339798764</v>
      </c>
      <c r="P85" s="483">
        <f t="shared" si="16"/>
        <v>818.62934807475085</v>
      </c>
    </row>
    <row r="86" spans="2:16">
      <c r="B86" s="656"/>
      <c r="C86" s="438">
        <f>Assumptions!$M$238</f>
        <v>9.3293645512787945E-2</v>
      </c>
      <c r="D86" s="442">
        <v>197910.25017201106</v>
      </c>
      <c r="E86" s="443">
        <v>208892.41247511434</v>
      </c>
      <c r="F86" s="445">
        <v>221609.68771319379</v>
      </c>
      <c r="G86" s="443">
        <v>236508.55154917442</v>
      </c>
      <c r="H86" s="444">
        <v>254203.03270362236</v>
      </c>
      <c r="J86" s="656"/>
      <c r="K86" s="438">
        <f>Assumptions!$M$238</f>
        <v>9.3293645512787945E-2</v>
      </c>
      <c r="L86" s="481">
        <f t="shared" si="16"/>
        <v>523.68948852500444</v>
      </c>
      <c r="M86" s="482">
        <f t="shared" si="16"/>
        <v>551.61376238791252</v>
      </c>
      <c r="N86" s="484">
        <f t="shared" si="16"/>
        <v>583.94989681544348</v>
      </c>
      <c r="O86" s="482">
        <f t="shared" si="16"/>
        <v>621.83314262073804</v>
      </c>
      <c r="P86" s="483">
        <f t="shared" si="16"/>
        <v>666.82478670518663</v>
      </c>
    </row>
    <row r="87" spans="2:16">
      <c r="B87" s="656"/>
      <c r="C87" s="438">
        <f>C86+0.01</f>
        <v>0.10329364551278794</v>
      </c>
      <c r="D87" s="442">
        <v>173322.67389530083</v>
      </c>
      <c r="E87" s="443">
        <v>181413.76684265223</v>
      </c>
      <c r="F87" s="443">
        <v>190608.78808975499</v>
      </c>
      <c r="G87" s="443">
        <v>201150.20418487937</v>
      </c>
      <c r="H87" s="444">
        <v>213357.09807160828</v>
      </c>
      <c r="J87" s="656"/>
      <c r="K87" s="438">
        <f>K86+0.01</f>
        <v>0.10329364551278794</v>
      </c>
      <c r="L87" s="481">
        <f t="shared" si="16"/>
        <v>461.1708155509229</v>
      </c>
      <c r="M87" s="482">
        <f t="shared" si="16"/>
        <v>481.74398584983942</v>
      </c>
      <c r="N87" s="482">
        <f t="shared" si="16"/>
        <v>505.12410757748876</v>
      </c>
      <c r="O87" s="482">
        <f t="shared" si="16"/>
        <v>531.9276988757108</v>
      </c>
      <c r="P87" s="483">
        <f t="shared" si="16"/>
        <v>562.96608990478489</v>
      </c>
    </row>
    <row r="88" spans="2:16">
      <c r="B88" s="656"/>
      <c r="C88" s="438">
        <f>C87+0.01</f>
        <v>0.11329364551278794</v>
      </c>
      <c r="D88" s="446">
        <v>154011.97760639567</v>
      </c>
      <c r="E88" s="447">
        <v>160162.83518519759</v>
      </c>
      <c r="F88" s="447">
        <v>167052.14736530016</v>
      </c>
      <c r="G88" s="447">
        <v>174821.39202714886</v>
      </c>
      <c r="H88" s="448">
        <v>183650.65282102278</v>
      </c>
      <c r="J88" s="656"/>
      <c r="K88" s="438">
        <f>K87+0.01</f>
        <v>0.11329364551278794</v>
      </c>
      <c r="L88" s="485">
        <f t="shared" si="16"/>
        <v>412.06963157894165</v>
      </c>
      <c r="M88" s="486">
        <f t="shared" si="16"/>
        <v>427.70937781303934</v>
      </c>
      <c r="N88" s="486">
        <f t="shared" si="16"/>
        <v>445.22678783983264</v>
      </c>
      <c r="O88" s="486">
        <f t="shared" si="16"/>
        <v>464.98159656125313</v>
      </c>
      <c r="P88" s="487">
        <f t="shared" si="16"/>
        <v>487.43170152332459</v>
      </c>
    </row>
    <row r="91" spans="2:16">
      <c r="B91" s="429" t="s">
        <v>391</v>
      </c>
      <c r="C91" s="47"/>
      <c r="D91" s="47"/>
      <c r="E91" s="47"/>
      <c r="F91" s="47"/>
      <c r="G91" s="47"/>
      <c r="H91" s="47"/>
      <c r="J91" s="429" t="s">
        <v>462</v>
      </c>
      <c r="K91" s="47"/>
      <c r="L91" s="47"/>
      <c r="M91" s="47"/>
      <c r="N91" s="47"/>
      <c r="O91" s="47"/>
      <c r="P91" s="47"/>
    </row>
    <row r="93" spans="2:16">
      <c r="B93" s="432"/>
      <c r="C93" s="433"/>
      <c r="D93" s="434" t="s">
        <v>299</v>
      </c>
      <c r="E93" s="435"/>
      <c r="F93" s="449"/>
      <c r="G93" s="435"/>
      <c r="H93" s="435"/>
      <c r="J93" s="432"/>
      <c r="K93" s="433"/>
      <c r="L93" s="434" t="s">
        <v>299</v>
      </c>
      <c r="M93" s="435"/>
      <c r="N93" s="449"/>
      <c r="O93" s="435"/>
      <c r="P93" s="435"/>
    </row>
    <row r="94" spans="2:16">
      <c r="B94" s="436"/>
      <c r="C94" s="437"/>
      <c r="D94" s="438">
        <f>E94-0.005</f>
        <v>1.9999999999999997E-2</v>
      </c>
      <c r="E94" s="438">
        <f>F94-0.005</f>
        <v>2.4999999999999998E-2</v>
      </c>
      <c r="F94" s="438">
        <f>Assumptions!$E$190</f>
        <v>0.03</v>
      </c>
      <c r="G94" s="438">
        <f>F94+0.005</f>
        <v>3.4999999999999996E-2</v>
      </c>
      <c r="H94" s="438">
        <f>G94+0.005</f>
        <v>3.9999999999999994E-2</v>
      </c>
      <c r="J94" s="436"/>
      <c r="K94" s="437"/>
      <c r="L94" s="438">
        <f>M94-0.005</f>
        <v>1.9999999999999997E-2</v>
      </c>
      <c r="M94" s="438">
        <f>N94-0.005</f>
        <v>2.4999999999999998E-2</v>
      </c>
      <c r="N94" s="438">
        <f>Assumptions!$E$190</f>
        <v>0.03</v>
      </c>
      <c r="O94" s="438">
        <f>N94+0.005</f>
        <v>3.4999999999999996E-2</v>
      </c>
      <c r="P94" s="438">
        <f>O94+0.005</f>
        <v>3.9999999999999994E-2</v>
      </c>
    </row>
    <row r="95" spans="2:16">
      <c r="B95" s="656" t="s">
        <v>303</v>
      </c>
      <c r="C95" s="438">
        <f>C96-0.01</f>
        <v>7.3293645512787955E-2</v>
      </c>
      <c r="D95" s="439">
        <f t="shared" ref="D95:H99" si="17">D84-$P$74</f>
        <v>282843.00432913186</v>
      </c>
      <c r="E95" s="440">
        <f t="shared" si="17"/>
        <v>306051.14084232983</v>
      </c>
      <c r="F95" s="440">
        <f t="shared" si="17"/>
        <v>334619.91082455218</v>
      </c>
      <c r="G95" s="440">
        <f t="shared" si="17"/>
        <v>370649.12746826559</v>
      </c>
      <c r="H95" s="441">
        <f t="shared" si="17"/>
        <v>417499.99373574118</v>
      </c>
      <c r="J95" s="656" t="s">
        <v>303</v>
      </c>
      <c r="K95" s="438">
        <f>K96-0.01</f>
        <v>7.3293645512787955E-2</v>
      </c>
      <c r="L95" s="450">
        <f t="shared" ref="L95:P99" si="18">L84/$P$76-1</f>
        <v>-0.18452063768120186</v>
      </c>
      <c r="M95" s="451">
        <f t="shared" si="18"/>
        <v>-0.11760805340399905</v>
      </c>
      <c r="N95" s="451">
        <f t="shared" si="18"/>
        <v>-3.5239948233453111E-2</v>
      </c>
      <c r="O95" s="451">
        <f t="shared" si="18"/>
        <v>6.8637758352041223E-2</v>
      </c>
      <c r="P95" s="452">
        <f t="shared" si="18"/>
        <v>0.20371592526129145</v>
      </c>
    </row>
    <row r="96" spans="2:16">
      <c r="B96" s="656"/>
      <c r="C96" s="438">
        <f>C97-0.01</f>
        <v>8.329364551278795E-2</v>
      </c>
      <c r="D96" s="442">
        <f t="shared" si="17"/>
        <v>238323.50577143655</v>
      </c>
      <c r="E96" s="443">
        <f t="shared" si="17"/>
        <v>253851.14784512608</v>
      </c>
      <c r="F96" s="443">
        <f t="shared" si="17"/>
        <v>272292.39095403912</v>
      </c>
      <c r="G96" s="443">
        <f t="shared" si="17"/>
        <v>294552.19919985603</v>
      </c>
      <c r="H96" s="444">
        <f t="shared" si="17"/>
        <v>321953.59531201288</v>
      </c>
      <c r="J96" s="656"/>
      <c r="K96" s="438">
        <f>K97-0.01</f>
        <v>8.329364551278795E-2</v>
      </c>
      <c r="L96" s="453">
        <f t="shared" si="18"/>
        <v>-0.31287711720839506</v>
      </c>
      <c r="M96" s="454">
        <f t="shared" si="18"/>
        <v>-0.2681085655286366</v>
      </c>
      <c r="N96" s="454">
        <f t="shared" si="18"/>
        <v>-0.21493965931336123</v>
      </c>
      <c r="O96" s="454">
        <f t="shared" si="18"/>
        <v>-0.15076124953903169</v>
      </c>
      <c r="P96" s="455">
        <f t="shared" si="18"/>
        <v>-7.1758860630079746E-2</v>
      </c>
    </row>
    <row r="97" spans="1:19">
      <c r="B97" s="656"/>
      <c r="C97" s="438">
        <f>Assumptions!$M$238</f>
        <v>9.3293645512787945E-2</v>
      </c>
      <c r="D97" s="442">
        <f t="shared" si="17"/>
        <v>205958.55017201105</v>
      </c>
      <c r="E97" s="443">
        <f t="shared" si="17"/>
        <v>216940.71247511433</v>
      </c>
      <c r="F97" s="445">
        <f t="shared" si="17"/>
        <v>229657.98771319378</v>
      </c>
      <c r="G97" s="443">
        <f t="shared" si="17"/>
        <v>244556.8515491744</v>
      </c>
      <c r="H97" s="444">
        <f t="shared" si="17"/>
        <v>262251.33270362235</v>
      </c>
      <c r="J97" s="656"/>
      <c r="K97" s="438">
        <f>Assumptions!$M$238</f>
        <v>9.3293645512787945E-2</v>
      </c>
      <c r="L97" s="453">
        <f t="shared" si="18"/>
        <v>-0.40619020238190495</v>
      </c>
      <c r="M97" s="454">
        <f t="shared" si="18"/>
        <v>-0.37452695961209326</v>
      </c>
      <c r="N97" s="456">
        <f t="shared" si="18"/>
        <v>-0.3378611225828918</v>
      </c>
      <c r="O97" s="454">
        <f t="shared" si="18"/>
        <v>-0.2949054341116224</v>
      </c>
      <c r="P97" s="455">
        <f t="shared" si="18"/>
        <v>-0.24388955608905605</v>
      </c>
    </row>
    <row r="98" spans="1:19">
      <c r="B98" s="656"/>
      <c r="C98" s="438">
        <f>C97+0.01</f>
        <v>0.10329364551278794</v>
      </c>
      <c r="D98" s="442">
        <f t="shared" si="17"/>
        <v>181370.97389530082</v>
      </c>
      <c r="E98" s="443">
        <f t="shared" si="17"/>
        <v>189462.06684265222</v>
      </c>
      <c r="F98" s="443">
        <f t="shared" si="17"/>
        <v>198657.08808975498</v>
      </c>
      <c r="G98" s="443">
        <f t="shared" si="17"/>
        <v>209198.50418487936</v>
      </c>
      <c r="H98" s="444">
        <f t="shared" si="17"/>
        <v>221405.39807160827</v>
      </c>
      <c r="J98" s="656"/>
      <c r="K98" s="438">
        <f>K97+0.01</f>
        <v>0.10329364551278794</v>
      </c>
      <c r="L98" s="453">
        <f t="shared" si="18"/>
        <v>-0.47707992111705322</v>
      </c>
      <c r="M98" s="454">
        <f t="shared" si="18"/>
        <v>-0.45375207062692657</v>
      </c>
      <c r="N98" s="454">
        <f t="shared" si="18"/>
        <v>-0.42724142709561386</v>
      </c>
      <c r="O98" s="454">
        <f t="shared" si="18"/>
        <v>-0.39684892261922233</v>
      </c>
      <c r="P98" s="455">
        <f t="shared" si="18"/>
        <v>-0.36165459258354171</v>
      </c>
    </row>
    <row r="99" spans="1:19">
      <c r="B99" s="656"/>
      <c r="C99" s="438">
        <f>C98+0.01</f>
        <v>0.11329364551278794</v>
      </c>
      <c r="D99" s="446">
        <f t="shared" si="17"/>
        <v>162060.27760639566</v>
      </c>
      <c r="E99" s="447">
        <f t="shared" si="17"/>
        <v>168211.13518519758</v>
      </c>
      <c r="F99" s="447">
        <f t="shared" si="17"/>
        <v>175100.44736530015</v>
      </c>
      <c r="G99" s="447">
        <f t="shared" si="17"/>
        <v>182869.69202714885</v>
      </c>
      <c r="H99" s="448">
        <f t="shared" si="17"/>
        <v>191698.95282102277</v>
      </c>
      <c r="J99" s="656"/>
      <c r="K99" s="438">
        <f>K98+0.01</f>
        <v>0.11329364551278794</v>
      </c>
      <c r="L99" s="457">
        <f t="shared" si="18"/>
        <v>-0.53275559297239716</v>
      </c>
      <c r="M99" s="458">
        <f t="shared" si="18"/>
        <v>-0.51502173588806788</v>
      </c>
      <c r="N99" s="458">
        <f t="shared" si="18"/>
        <v>-0.49515880197258855</v>
      </c>
      <c r="O99" s="458">
        <f t="shared" si="18"/>
        <v>-0.47275888899764873</v>
      </c>
      <c r="P99" s="459">
        <f t="shared" si="18"/>
        <v>-0.44730278843397253</v>
      </c>
    </row>
    <row r="102" spans="1:19" ht="24">
      <c r="A102" s="1" t="s">
        <v>160</v>
      </c>
      <c r="B102" s="135" t="s">
        <v>470</v>
      </c>
      <c r="C102" s="136"/>
      <c r="D102" s="136"/>
      <c r="E102" s="137"/>
      <c r="F102" s="137"/>
      <c r="G102" s="137"/>
      <c r="H102" s="137"/>
      <c r="I102" s="137"/>
      <c r="J102" s="137"/>
      <c r="K102" s="137"/>
      <c r="L102" s="137"/>
      <c r="M102" s="137"/>
      <c r="N102" s="137"/>
      <c r="O102" s="137"/>
      <c r="P102" s="137"/>
    </row>
    <row r="103" spans="1:19">
      <c r="B103" s="126"/>
      <c r="C103" s="127"/>
      <c r="D103" s="127"/>
      <c r="E103" s="127"/>
      <c r="F103" s="127"/>
      <c r="G103" s="127"/>
      <c r="H103" s="127"/>
      <c r="I103" s="127"/>
      <c r="J103" s="127"/>
      <c r="K103" s="127"/>
      <c r="L103" s="127"/>
      <c r="M103" s="127"/>
      <c r="N103" s="127"/>
      <c r="O103" s="127"/>
      <c r="P103" s="127"/>
    </row>
    <row r="104" spans="1:19">
      <c r="B104" s="116" t="s">
        <v>132</v>
      </c>
      <c r="G104" s="2"/>
    </row>
    <row r="105" spans="1:19">
      <c r="B105" s="115" t="str">
        <f>CONCATENATE("Running ", CHOOSE(Assumptions!$B$7,Assumptions!$B$13,Assumptions!$B$14,Assumptions!$B$15)," Model")</f>
        <v>Running Base Case Model</v>
      </c>
      <c r="K105" s="4"/>
      <c r="L105" s="4"/>
      <c r="M105" s="4"/>
      <c r="N105" s="4"/>
      <c r="O105" s="4"/>
      <c r="P105" s="4"/>
    </row>
    <row r="107" spans="1:19">
      <c r="B107" s="429" t="s">
        <v>450</v>
      </c>
      <c r="C107" s="47"/>
      <c r="D107" s="47"/>
      <c r="E107" s="47"/>
      <c r="F107" s="47"/>
      <c r="G107" s="47"/>
      <c r="H107" s="47"/>
      <c r="J107" s="429" t="s">
        <v>452</v>
      </c>
      <c r="K107" s="47"/>
      <c r="L107" s="47"/>
      <c r="M107" s="47"/>
      <c r="N107" s="47"/>
      <c r="O107" s="47"/>
      <c r="P107" s="47"/>
    </row>
    <row r="109" spans="1:19">
      <c r="D109" s="430" t="s">
        <v>336</v>
      </c>
      <c r="E109" s="430" t="s">
        <v>35</v>
      </c>
      <c r="F109" s="430" t="s">
        <v>321</v>
      </c>
      <c r="G109" s="430"/>
      <c r="R109" s="510"/>
    </row>
    <row r="110" spans="1:19">
      <c r="C110" s="45"/>
      <c r="D110" s="500" t="s">
        <v>337</v>
      </c>
      <c r="E110" s="500" t="s">
        <v>337</v>
      </c>
      <c r="F110" s="500" t="s">
        <v>451</v>
      </c>
      <c r="G110" s="430"/>
      <c r="J110" s="1" t="s">
        <v>471</v>
      </c>
      <c r="P110" s="488">
        <f>Assumptions!E191</f>
        <v>11</v>
      </c>
      <c r="R110" s="510"/>
    </row>
    <row r="111" spans="1:19">
      <c r="B111" s="501"/>
      <c r="D111" s="475">
        <f ca="1">Model!E657</f>
        <v>225998.57345463141</v>
      </c>
      <c r="E111" s="431"/>
      <c r="F111" s="506"/>
      <c r="J111" s="1" t="s">
        <v>303</v>
      </c>
      <c r="P111" s="217">
        <f>Assumptions!$M$238</f>
        <v>9.3293645512787945E-2</v>
      </c>
      <c r="R111" s="545"/>
      <c r="S111" s="510"/>
    </row>
    <row r="112" spans="1:19">
      <c r="B112" s="505" t="s">
        <v>87</v>
      </c>
      <c r="C112" s="476">
        <v>1</v>
      </c>
      <c r="D112" s="490">
        <f t="dataTable" ref="D112:D114" dt2D="0" dtr="0" r1="D6" ca="1"/>
        <v>330231.74599891866</v>
      </c>
      <c r="E112" s="490">
        <f>D112-$P$74</f>
        <v>338280.04599891865</v>
      </c>
      <c r="F112" s="491">
        <f>E112/$P$75</f>
        <v>860.14250983722036</v>
      </c>
      <c r="J112" s="1" t="s">
        <v>453</v>
      </c>
      <c r="M112" s="153" t="s">
        <v>455</v>
      </c>
      <c r="P112" s="51">
        <f>SUM(Model!$K$106,Model!$K$101)-Model!$K$80</f>
        <v>-8048.2999999999993</v>
      </c>
    </row>
    <row r="113" spans="2:16">
      <c r="B113" s="505" t="s">
        <v>88</v>
      </c>
      <c r="C113" s="476">
        <v>2</v>
      </c>
      <c r="D113" s="490">
        <v>225998.57345381935</v>
      </c>
      <c r="E113" s="490">
        <f>D113-$P$74</f>
        <v>234046.87345381934</v>
      </c>
      <c r="F113" s="491">
        <f>E113/$P$75</f>
        <v>595.10948852349986</v>
      </c>
      <c r="J113" s="1" t="s">
        <v>322</v>
      </c>
      <c r="M113" s="153" t="s">
        <v>456</v>
      </c>
      <c r="P113" s="428">
        <f>Assumptions!$E$192/1000000</f>
        <v>393.28372000000002</v>
      </c>
    </row>
    <row r="114" spans="2:16">
      <c r="B114" s="505" t="s">
        <v>89</v>
      </c>
      <c r="C114" s="476">
        <v>3</v>
      </c>
      <c r="D114" s="490">
        <v>184942.25243727793</v>
      </c>
      <c r="E114" s="490">
        <f>D114-$P$74</f>
        <v>192990.55243727792</v>
      </c>
      <c r="F114" s="491">
        <f>E114/$P$75</f>
        <v>490.71584360847152</v>
      </c>
      <c r="J114" s="1" t="s">
        <v>454</v>
      </c>
      <c r="M114" s="153" t="s">
        <v>457</v>
      </c>
      <c r="P114" s="1">
        <f>Assumptions!$K$191</f>
        <v>881.91452991452991</v>
      </c>
    </row>
    <row r="118" spans="2:16">
      <c r="B118" s="429" t="s">
        <v>461</v>
      </c>
      <c r="C118" s="47"/>
      <c r="D118" s="47"/>
      <c r="E118" s="47"/>
      <c r="F118" s="47"/>
      <c r="G118" s="47"/>
      <c r="H118" s="47"/>
      <c r="J118" s="429" t="s">
        <v>392</v>
      </c>
      <c r="K118" s="47"/>
      <c r="L118" s="47"/>
      <c r="M118" s="47"/>
      <c r="N118" s="47"/>
      <c r="O118" s="47"/>
      <c r="P118" s="47"/>
    </row>
    <row r="120" spans="2:16">
      <c r="B120" s="432"/>
      <c r="C120" s="433"/>
      <c r="D120" s="434" t="s">
        <v>471</v>
      </c>
      <c r="E120" s="435"/>
      <c r="F120" s="449"/>
      <c r="G120" s="435"/>
      <c r="H120" s="435"/>
      <c r="J120" s="432"/>
      <c r="K120" s="433"/>
      <c r="L120" s="434" t="s">
        <v>471</v>
      </c>
      <c r="M120" s="435"/>
      <c r="N120" s="449"/>
      <c r="O120" s="435"/>
      <c r="P120" s="435"/>
    </row>
    <row r="121" spans="2:16">
      <c r="B121" s="436"/>
      <c r="C121" s="437">
        <f ca="1">Model!$E$657</f>
        <v>225998.57345463141</v>
      </c>
      <c r="D121" s="576">
        <f>E121-0.5</f>
        <v>10</v>
      </c>
      <c r="E121" s="576">
        <f>F121-0.5</f>
        <v>10.5</v>
      </c>
      <c r="F121" s="576">
        <f>$P$110</f>
        <v>11</v>
      </c>
      <c r="G121" s="576">
        <f>F121+0.5</f>
        <v>11.5</v>
      </c>
      <c r="H121" s="576">
        <f>G121+0.5</f>
        <v>12</v>
      </c>
      <c r="J121" s="436"/>
      <c r="K121" s="437"/>
      <c r="L121" s="576">
        <f>M121-0.5</f>
        <v>10</v>
      </c>
      <c r="M121" s="576">
        <f>N121-0.5</f>
        <v>10.5</v>
      </c>
      <c r="N121" s="576">
        <f>$P$110</f>
        <v>11</v>
      </c>
      <c r="O121" s="576">
        <f>N121+0.5</f>
        <v>11.5</v>
      </c>
      <c r="P121" s="576">
        <f>O121+0.5</f>
        <v>12</v>
      </c>
    </row>
    <row r="122" spans="2:16">
      <c r="B122" s="656" t="s">
        <v>303</v>
      </c>
      <c r="C122" s="438">
        <f>C123-0.01</f>
        <v>7.3293645512787955E-2</v>
      </c>
      <c r="D122" s="439">
        <f t="dataTable" ref="D122:H126" dt2D="1" dtr="1" r1="P110" r2="P111" ca="1"/>
        <v>231627.71493644724</v>
      </c>
      <c r="E122" s="440">
        <v>223134.53737137001</v>
      </c>
      <c r="F122" s="440">
        <v>223134.53737137001</v>
      </c>
      <c r="G122" s="440">
        <v>231627.71493644692</v>
      </c>
      <c r="H122" s="441">
        <v>248614.07006660069</v>
      </c>
      <c r="J122" s="656" t="s">
        <v>303</v>
      </c>
      <c r="K122" s="438">
        <f>K123-0.01</f>
        <v>7.3293645512787955E-2</v>
      </c>
      <c r="L122" s="478">
        <f>D133/$P$113</f>
        <v>609.4226705759578</v>
      </c>
      <c r="M122" s="479">
        <f t="shared" ref="M122:P122" si="19">E133/$P$113</f>
        <v>587.8271222906709</v>
      </c>
      <c r="N122" s="479">
        <f t="shared" si="19"/>
        <v>587.8271222906709</v>
      </c>
      <c r="O122" s="479">
        <f t="shared" si="19"/>
        <v>609.422670575957</v>
      </c>
      <c r="P122" s="480">
        <f t="shared" si="19"/>
        <v>652.61376714652886</v>
      </c>
    </row>
    <row r="123" spans="2:16">
      <c r="B123" s="656"/>
      <c r="C123" s="438">
        <f>C124-0.01</f>
        <v>8.329364551278795E-2</v>
      </c>
      <c r="D123" s="442">
        <v>220864.66644474957</v>
      </c>
      <c r="E123" s="443">
        <v>212812.42468838979</v>
      </c>
      <c r="F123" s="443">
        <v>212812.42468838979</v>
      </c>
      <c r="G123" s="443">
        <v>220864.66644474957</v>
      </c>
      <c r="H123" s="444">
        <v>236969.14995746914</v>
      </c>
      <c r="J123" s="656"/>
      <c r="K123" s="438">
        <f>K124-0.01</f>
        <v>8.329364551278795E-2</v>
      </c>
      <c r="L123" s="481">
        <f t="shared" ref="L123:P123" si="20">D134/$P$113</f>
        <v>582.05553600019232</v>
      </c>
      <c r="M123" s="482">
        <f t="shared" si="20"/>
        <v>561.5811523761771</v>
      </c>
      <c r="N123" s="482">
        <f t="shared" si="20"/>
        <v>561.5811523761771</v>
      </c>
      <c r="O123" s="482">
        <f t="shared" si="20"/>
        <v>582.05553600019232</v>
      </c>
      <c r="P123" s="483">
        <f t="shared" si="20"/>
        <v>623.00430324822275</v>
      </c>
    </row>
    <row r="124" spans="2:16">
      <c r="B124" s="656"/>
      <c r="C124" s="438">
        <f>Assumptions!$M$238</f>
        <v>9.3293645512787945E-2</v>
      </c>
      <c r="D124" s="442">
        <v>210722.6963696098</v>
      </c>
      <c r="E124" s="443">
        <v>203084.75782709903</v>
      </c>
      <c r="F124" s="445">
        <v>203084.75782709903</v>
      </c>
      <c r="G124" s="443">
        <v>210722.6963696098</v>
      </c>
      <c r="H124" s="444">
        <v>225998.57345463141</v>
      </c>
      <c r="J124" s="656"/>
      <c r="K124" s="438">
        <f>Assumptions!$M$238</f>
        <v>9.3293645512787945E-2</v>
      </c>
      <c r="L124" s="481">
        <f t="shared" ref="L124:P124" si="21">D135/$P$113</f>
        <v>556.26761354273651</v>
      </c>
      <c r="M124" s="482">
        <f t="shared" si="21"/>
        <v>536.84667605132245</v>
      </c>
      <c r="N124" s="484">
        <f t="shared" si="21"/>
        <v>536.84667605132245</v>
      </c>
      <c r="O124" s="482">
        <f t="shared" si="21"/>
        <v>556.26761354273651</v>
      </c>
      <c r="P124" s="483">
        <f t="shared" si="21"/>
        <v>595.10948852556464</v>
      </c>
    </row>
    <row r="125" spans="2:16">
      <c r="B125" s="656"/>
      <c r="C125" s="438">
        <f>C124+0.01</f>
        <v>0.10329364551278794</v>
      </c>
      <c r="D125" s="442">
        <v>201160.17763409042</v>
      </c>
      <c r="E125" s="443">
        <v>193911.7402443364</v>
      </c>
      <c r="F125" s="443">
        <v>193911.7402443364</v>
      </c>
      <c r="G125" s="443">
        <v>201160.17763409042</v>
      </c>
      <c r="H125" s="444">
        <v>215657.05241359849</v>
      </c>
      <c r="J125" s="656"/>
      <c r="K125" s="438">
        <f>K124+0.01</f>
        <v>0.10329364551278794</v>
      </c>
      <c r="L125" s="481">
        <f t="shared" ref="L125:P125" si="22">D136/$P$113</f>
        <v>531.95305830124471</v>
      </c>
      <c r="M125" s="482">
        <f t="shared" si="22"/>
        <v>513.52250290028883</v>
      </c>
      <c r="N125" s="482">
        <f t="shared" si="22"/>
        <v>513.52250290028883</v>
      </c>
      <c r="O125" s="482">
        <f t="shared" si="22"/>
        <v>531.95305830124471</v>
      </c>
      <c r="P125" s="483">
        <f t="shared" si="22"/>
        <v>568.81416910315659</v>
      </c>
    </row>
    <row r="126" spans="2:16">
      <c r="B126" s="656"/>
      <c r="C126" s="438">
        <f>C125+0.01</f>
        <v>0.11329364551278794</v>
      </c>
      <c r="D126" s="446">
        <v>192138.63414617849</v>
      </c>
      <c r="E126" s="447">
        <v>185256.58557996509</v>
      </c>
      <c r="F126" s="447">
        <v>185256.58557996509</v>
      </c>
      <c r="G126" s="447">
        <v>192138.63414617849</v>
      </c>
      <c r="H126" s="448">
        <v>205902.73127860529</v>
      </c>
      <c r="J126" s="656"/>
      <c r="K126" s="438">
        <f>K125+0.01</f>
        <v>0.11329364551278794</v>
      </c>
      <c r="L126" s="485">
        <f t="shared" ref="L126:P126" si="23">D137/$P$113</f>
        <v>509.01403736259022</v>
      </c>
      <c r="M126" s="486">
        <f t="shared" si="23"/>
        <v>491.51509648038586</v>
      </c>
      <c r="N126" s="486">
        <f t="shared" si="23"/>
        <v>491.51509648038586</v>
      </c>
      <c r="O126" s="486">
        <f t="shared" si="23"/>
        <v>509.01403736259022</v>
      </c>
      <c r="P126" s="487">
        <f t="shared" si="23"/>
        <v>544.01191912699892</v>
      </c>
    </row>
    <row r="129" spans="1:16">
      <c r="B129" s="429" t="s">
        <v>391</v>
      </c>
      <c r="C129" s="47"/>
      <c r="D129" s="47"/>
      <c r="E129" s="47"/>
      <c r="F129" s="47"/>
      <c r="G129" s="47"/>
      <c r="H129" s="47"/>
      <c r="J129" s="429" t="s">
        <v>462</v>
      </c>
      <c r="K129" s="47"/>
      <c r="L129" s="47"/>
      <c r="M129" s="47"/>
      <c r="N129" s="47"/>
      <c r="O129" s="47"/>
      <c r="P129" s="47"/>
    </row>
    <row r="131" spans="1:16">
      <c r="B131" s="432"/>
      <c r="C131" s="433"/>
      <c r="D131" s="489" t="s">
        <v>471</v>
      </c>
      <c r="E131" s="489"/>
      <c r="F131" s="489"/>
      <c r="G131" s="489"/>
      <c r="H131" s="489"/>
      <c r="J131" s="432"/>
      <c r="K131" s="433"/>
      <c r="L131" s="489" t="s">
        <v>471</v>
      </c>
      <c r="M131" s="489"/>
      <c r="N131" s="489"/>
      <c r="O131" s="489"/>
      <c r="P131" s="489"/>
    </row>
    <row r="132" spans="1:16">
      <c r="B132" s="436"/>
      <c r="C132" s="437"/>
      <c r="D132" s="577">
        <f>E132-0.5</f>
        <v>10</v>
      </c>
      <c r="E132" s="577">
        <f>F132-0.5</f>
        <v>10.5</v>
      </c>
      <c r="F132" s="576">
        <f>$P$110</f>
        <v>11</v>
      </c>
      <c r="G132" s="577">
        <f>F132+0.5</f>
        <v>11.5</v>
      </c>
      <c r="H132" s="577">
        <f>G132+0.5</f>
        <v>12</v>
      </c>
      <c r="J132" s="436"/>
      <c r="K132" s="437"/>
      <c r="L132" s="577">
        <f>M132-0.5</f>
        <v>10</v>
      </c>
      <c r="M132" s="577">
        <f>N132-0.5</f>
        <v>10.5</v>
      </c>
      <c r="N132" s="577">
        <f>$P$110</f>
        <v>11</v>
      </c>
      <c r="O132" s="577">
        <f>N132+0.5</f>
        <v>11.5</v>
      </c>
      <c r="P132" s="577">
        <f>O132+0.5</f>
        <v>12</v>
      </c>
    </row>
    <row r="133" spans="1:16">
      <c r="B133" s="656" t="s">
        <v>303</v>
      </c>
      <c r="C133" s="438">
        <f>C134-0.01</f>
        <v>7.3293645512787955E-2</v>
      </c>
      <c r="D133" s="439">
        <f>D122-$P$112</f>
        <v>239676.01493644723</v>
      </c>
      <c r="E133" s="440">
        <f t="shared" ref="E133:H133" si="24">E122-$P$112</f>
        <v>231182.83737137</v>
      </c>
      <c r="F133" s="440">
        <f t="shared" si="24"/>
        <v>231182.83737137</v>
      </c>
      <c r="G133" s="440">
        <f t="shared" si="24"/>
        <v>239676.01493644691</v>
      </c>
      <c r="H133" s="441">
        <f t="shared" si="24"/>
        <v>256662.37006660068</v>
      </c>
      <c r="J133" s="656" t="s">
        <v>303</v>
      </c>
      <c r="K133" s="438">
        <f>K134-0.01</f>
        <v>7.3293645512787955E-2</v>
      </c>
      <c r="L133" s="450">
        <f>L122/$P$114-1</f>
        <v>-0.30897762775830495</v>
      </c>
      <c r="M133" s="451">
        <f t="shared" ref="M133:P133" si="25">M122/$P$114-1</f>
        <v>-0.3334647493021351</v>
      </c>
      <c r="N133" s="451">
        <f t="shared" si="25"/>
        <v>-0.3334647493021351</v>
      </c>
      <c r="O133" s="451">
        <f t="shared" si="25"/>
        <v>-0.30897762775830584</v>
      </c>
      <c r="P133" s="452">
        <f t="shared" si="25"/>
        <v>-0.26000338467064776</v>
      </c>
    </row>
    <row r="134" spans="1:16">
      <c r="B134" s="656"/>
      <c r="C134" s="438">
        <f>C135-0.01</f>
        <v>8.329364551278795E-2</v>
      </c>
      <c r="D134" s="442">
        <f t="shared" ref="D134:H134" si="26">D123-$P$112</f>
        <v>228912.96644474956</v>
      </c>
      <c r="E134" s="443">
        <f t="shared" si="26"/>
        <v>220860.72468838978</v>
      </c>
      <c r="F134" s="443">
        <f t="shared" si="26"/>
        <v>220860.72468838978</v>
      </c>
      <c r="G134" s="443">
        <f t="shared" si="26"/>
        <v>228912.96644474956</v>
      </c>
      <c r="H134" s="444">
        <f t="shared" si="26"/>
        <v>245017.44995746913</v>
      </c>
      <c r="J134" s="656"/>
      <c r="K134" s="438">
        <f>K135-0.01</f>
        <v>8.329364551278795E-2</v>
      </c>
      <c r="L134" s="453">
        <f t="shared" ref="L134:P134" si="27">L123/$P$114-1</f>
        <v>-0.34000913211328787</v>
      </c>
      <c r="M134" s="454">
        <f t="shared" si="27"/>
        <v>-0.36322496871595678</v>
      </c>
      <c r="N134" s="454">
        <f t="shared" si="27"/>
        <v>-0.36322496871595678</v>
      </c>
      <c r="O134" s="454">
        <f t="shared" si="27"/>
        <v>-0.34000913211328787</v>
      </c>
      <c r="P134" s="455">
        <f t="shared" si="27"/>
        <v>-0.29357745890795028</v>
      </c>
    </row>
    <row r="135" spans="1:16">
      <c r="B135" s="656"/>
      <c r="C135" s="438">
        <f>Assumptions!$M$238</f>
        <v>9.3293645512787945E-2</v>
      </c>
      <c r="D135" s="442">
        <f t="shared" ref="D135:H135" si="28">D124-$P$112</f>
        <v>218770.99636960978</v>
      </c>
      <c r="E135" s="443">
        <f t="shared" si="28"/>
        <v>211133.05782709902</v>
      </c>
      <c r="F135" s="445">
        <f t="shared" si="28"/>
        <v>211133.05782709902</v>
      </c>
      <c r="G135" s="443">
        <f t="shared" si="28"/>
        <v>218770.99636960978</v>
      </c>
      <c r="H135" s="444">
        <f t="shared" si="28"/>
        <v>234046.87345463139</v>
      </c>
      <c r="J135" s="656"/>
      <c r="K135" s="438">
        <f>Assumptions!$M$238</f>
        <v>9.3293645512787945E-2</v>
      </c>
      <c r="L135" s="453">
        <f t="shared" ref="L135:P135" si="29">L124/$P$114-1</f>
        <v>-0.36924997301422535</v>
      </c>
      <c r="M135" s="454">
        <f t="shared" si="29"/>
        <v>-0.39127131049382924</v>
      </c>
      <c r="N135" s="456">
        <f t="shared" si="29"/>
        <v>-0.39127131049382924</v>
      </c>
      <c r="O135" s="454">
        <f t="shared" si="29"/>
        <v>-0.36924997301422535</v>
      </c>
      <c r="P135" s="455">
        <f t="shared" si="29"/>
        <v>-0.32520729805501758</v>
      </c>
    </row>
    <row r="136" spans="1:16">
      <c r="B136" s="656"/>
      <c r="C136" s="438">
        <f>C135+0.01</f>
        <v>0.10329364551278794</v>
      </c>
      <c r="D136" s="442">
        <f t="shared" ref="D136:H136" si="30">D125-$P$112</f>
        <v>209208.47763409041</v>
      </c>
      <c r="E136" s="443">
        <f t="shared" si="30"/>
        <v>201960.04024433639</v>
      </c>
      <c r="F136" s="443">
        <f t="shared" si="30"/>
        <v>201960.04024433639</v>
      </c>
      <c r="G136" s="443">
        <f t="shared" si="30"/>
        <v>209208.47763409041</v>
      </c>
      <c r="H136" s="444">
        <f t="shared" si="30"/>
        <v>223705.35241359848</v>
      </c>
      <c r="J136" s="656"/>
      <c r="K136" s="438">
        <f>K135+0.01</f>
        <v>0.10329364551278794</v>
      </c>
      <c r="L136" s="453">
        <f t="shared" ref="L136:P136" si="31">L125/$P$114-1</f>
        <v>-0.39682016764958106</v>
      </c>
      <c r="M136" s="454">
        <f t="shared" si="31"/>
        <v>-0.41771851411717131</v>
      </c>
      <c r="N136" s="454">
        <f t="shared" si="31"/>
        <v>-0.41771851411717131</v>
      </c>
      <c r="O136" s="454">
        <f t="shared" si="31"/>
        <v>-0.39682016764958106</v>
      </c>
      <c r="P136" s="455">
        <f t="shared" si="31"/>
        <v>-0.35502347471440032</v>
      </c>
    </row>
    <row r="137" spans="1:16">
      <c r="B137" s="656"/>
      <c r="C137" s="438">
        <f>C136+0.01</f>
        <v>0.11329364551278794</v>
      </c>
      <c r="D137" s="446">
        <f t="shared" ref="D137:H137" si="32">D126-$P$112</f>
        <v>200186.93414617848</v>
      </c>
      <c r="E137" s="447">
        <f t="shared" si="32"/>
        <v>193304.88557996508</v>
      </c>
      <c r="F137" s="447">
        <f t="shared" si="32"/>
        <v>193304.88557996508</v>
      </c>
      <c r="G137" s="447">
        <f t="shared" si="32"/>
        <v>200186.93414617848</v>
      </c>
      <c r="H137" s="448">
        <f t="shared" si="32"/>
        <v>213951.03127860528</v>
      </c>
      <c r="J137" s="656"/>
      <c r="K137" s="438">
        <f>K136+0.01</f>
        <v>0.11329364551278794</v>
      </c>
      <c r="L137" s="457">
        <f t="shared" ref="L137:P137" si="33">L126/$P$114-1</f>
        <v>-0.42283064843945717</v>
      </c>
      <c r="M137" s="458">
        <f t="shared" si="33"/>
        <v>-0.44267264025231479</v>
      </c>
      <c r="N137" s="458">
        <f t="shared" si="33"/>
        <v>-0.44267264025231479</v>
      </c>
      <c r="O137" s="458">
        <f t="shared" si="33"/>
        <v>-0.42283064843945717</v>
      </c>
      <c r="P137" s="459">
        <f t="shared" si="33"/>
        <v>-0.38314666481374171</v>
      </c>
    </row>
    <row r="140" spans="1:16" ht="24">
      <c r="A140" s="1" t="s">
        <v>160</v>
      </c>
      <c r="B140" s="135" t="s">
        <v>472</v>
      </c>
      <c r="C140" s="136"/>
      <c r="D140" s="136"/>
      <c r="E140" s="137"/>
      <c r="F140" s="137"/>
      <c r="G140" s="137"/>
      <c r="H140" s="137"/>
      <c r="I140" s="137"/>
      <c r="J140" s="137"/>
      <c r="K140" s="137"/>
      <c r="L140" s="137"/>
      <c r="M140" s="137"/>
      <c r="N140" s="137"/>
      <c r="O140" s="137"/>
      <c r="P140" s="137"/>
    </row>
    <row r="141" spans="1:16">
      <c r="B141" s="126"/>
      <c r="C141" s="127"/>
      <c r="D141" s="127"/>
      <c r="E141" s="127"/>
      <c r="F141" s="127"/>
      <c r="G141" s="127"/>
      <c r="H141" s="127"/>
      <c r="I141" s="127"/>
      <c r="J141" s="127"/>
      <c r="K141" s="127"/>
      <c r="L141" s="127"/>
      <c r="M141" s="127"/>
      <c r="N141" s="127"/>
      <c r="O141" s="127"/>
      <c r="P141" s="127"/>
    </row>
    <row r="142" spans="1:16">
      <c r="B142" s="116" t="s">
        <v>132</v>
      </c>
      <c r="G142" s="2"/>
    </row>
    <row r="143" spans="1:16">
      <c r="B143" s="115" t="str">
        <f>CONCATENATE("Running ", CHOOSE(Assumptions!$B$7,Assumptions!$B$13,Assumptions!$B$14,Assumptions!$B$15)," Model")</f>
        <v>Running Base Case Model</v>
      </c>
      <c r="K143" s="4"/>
      <c r="L143" s="4"/>
      <c r="M143" s="4"/>
      <c r="N143" s="4"/>
      <c r="O143" s="4"/>
      <c r="P143" s="4"/>
    </row>
    <row r="145" spans="2:16">
      <c r="B145" s="429" t="s">
        <v>485</v>
      </c>
      <c r="C145" s="47"/>
      <c r="D145" s="47"/>
      <c r="E145" s="47"/>
      <c r="F145" s="47"/>
      <c r="G145" s="47"/>
      <c r="H145" s="47"/>
      <c r="I145" s="47"/>
      <c r="J145" s="47"/>
      <c r="K145" s="47"/>
      <c r="L145" s="47"/>
      <c r="M145" s="47"/>
      <c r="N145" s="47"/>
      <c r="O145" s="47"/>
      <c r="P145" s="47"/>
    </row>
    <row r="168" spans="2:16">
      <c r="B168" s="429" t="s">
        <v>554</v>
      </c>
      <c r="C168" s="47"/>
      <c r="D168" s="47"/>
      <c r="E168" s="47"/>
      <c r="F168" s="47"/>
      <c r="G168" s="47"/>
      <c r="H168" s="47"/>
      <c r="I168" s="47"/>
      <c r="J168" s="47"/>
      <c r="K168" s="47"/>
      <c r="L168" s="47"/>
      <c r="M168" s="47"/>
      <c r="N168" s="47"/>
      <c r="O168" s="47"/>
      <c r="P168" s="47"/>
    </row>
    <row r="170" spans="2:16">
      <c r="G170" s="430" t="s">
        <v>473</v>
      </c>
      <c r="H170" s="312"/>
      <c r="I170" s="430" t="s">
        <v>474</v>
      </c>
      <c r="J170" s="312"/>
      <c r="K170" s="430" t="s">
        <v>475</v>
      </c>
      <c r="L170" s="312"/>
      <c r="M170" s="430" t="s">
        <v>476</v>
      </c>
    </row>
    <row r="171" spans="2:16">
      <c r="D171" s="475">
        <f>Model!E719</f>
        <v>0</v>
      </c>
      <c r="E171" s="503"/>
      <c r="F171" s="507"/>
      <c r="G171" s="508"/>
      <c r="H171" s="508"/>
      <c r="I171" s="508"/>
      <c r="J171" s="508"/>
      <c r="K171" s="508"/>
      <c r="L171" s="508"/>
      <c r="M171" s="508"/>
    </row>
    <row r="172" spans="2:16">
      <c r="B172" s="10"/>
      <c r="C172" s="476"/>
      <c r="D172" s="490"/>
      <c r="E172" s="505" t="s">
        <v>477</v>
      </c>
      <c r="G172" s="499">
        <f>Comps!K26</f>
        <v>462.51947095743986</v>
      </c>
      <c r="H172" s="614"/>
      <c r="I172" s="499">
        <f>K172-G172</f>
        <v>322.98551622923111</v>
      </c>
      <c r="J172" s="614"/>
      <c r="K172" s="499">
        <f>Comps!K25</f>
        <v>785.50498718667097</v>
      </c>
      <c r="L172" s="614"/>
      <c r="M172" s="499">
        <f>(K172+G172)/2</f>
        <v>624.01222907205545</v>
      </c>
    </row>
    <row r="173" spans="2:16">
      <c r="B173" s="10"/>
      <c r="C173" s="476"/>
      <c r="D173" s="490"/>
      <c r="E173" s="505" t="s">
        <v>478</v>
      </c>
      <c r="G173" s="499">
        <f>F76</f>
        <v>465.37595755389458</v>
      </c>
      <c r="H173" s="614"/>
      <c r="I173" s="499">
        <f>K173-G173</f>
        <v>403.78250382505411</v>
      </c>
      <c r="J173" s="614"/>
      <c r="K173" s="499">
        <f>F74</f>
        <v>869.15846137894869</v>
      </c>
      <c r="L173" s="614"/>
      <c r="M173" s="499">
        <f>(K173+G173)/2</f>
        <v>667.2672094664216</v>
      </c>
    </row>
    <row r="174" spans="2:16">
      <c r="B174" s="10"/>
      <c r="C174" s="476"/>
      <c r="D174" s="490"/>
      <c r="E174" s="505" t="s">
        <v>479</v>
      </c>
      <c r="G174" s="499">
        <f>F114</f>
        <v>490.71584360847152</v>
      </c>
      <c r="H174" s="614"/>
      <c r="I174" s="499">
        <f>K174-G174</f>
        <v>369.42666622874884</v>
      </c>
      <c r="J174" s="614"/>
      <c r="K174" s="499">
        <f>F112</f>
        <v>860.14250983722036</v>
      </c>
      <c r="L174" s="614"/>
      <c r="M174" s="499">
        <f>(K174+G174)/2</f>
        <v>675.42917672284591</v>
      </c>
    </row>
    <row r="175" spans="2:16">
      <c r="E175" s="505" t="s">
        <v>483</v>
      </c>
      <c r="G175" s="499">
        <f>Assumptions!K193</f>
        <v>494.45299145299145</v>
      </c>
      <c r="H175" s="614"/>
      <c r="I175" s="499">
        <f>K175-G175</f>
        <v>394.63247863247875</v>
      </c>
      <c r="J175" s="614"/>
      <c r="K175" s="499">
        <f>Assumptions!K194</f>
        <v>889.08547008547021</v>
      </c>
      <c r="L175" s="614"/>
      <c r="M175" s="499">
        <f>(K175+G175)/2</f>
        <v>691.76923076923083</v>
      </c>
    </row>
    <row r="176" spans="2:16">
      <c r="E176" s="505" t="s">
        <v>484</v>
      </c>
      <c r="G176" s="499">
        <f>Assumptions!E193</f>
        <v>513.23931623931628</v>
      </c>
      <c r="H176" s="614"/>
      <c r="I176" s="499">
        <f>K176-G176</f>
        <v>432.20512820512829</v>
      </c>
      <c r="J176" s="614"/>
      <c r="K176" s="499">
        <f>Assumptions!E194</f>
        <v>945.44444444444457</v>
      </c>
      <c r="L176" s="614"/>
      <c r="M176" s="499">
        <f>(K176+G176)/2</f>
        <v>729.34188034188037</v>
      </c>
    </row>
    <row r="179" spans="2:16">
      <c r="B179" s="429" t="s">
        <v>568</v>
      </c>
      <c r="C179" s="47"/>
      <c r="D179" s="47"/>
      <c r="E179" s="47"/>
      <c r="F179" s="47"/>
      <c r="G179" s="47"/>
      <c r="H179" s="47"/>
      <c r="I179" s="47"/>
      <c r="J179" s="47"/>
      <c r="K179" s="47"/>
      <c r="L179" s="47"/>
      <c r="M179" s="47"/>
      <c r="N179" s="47"/>
      <c r="O179" s="47"/>
      <c r="P179" s="47"/>
    </row>
    <row r="180" spans="2:16">
      <c r="B180" s="582"/>
      <c r="C180" s="4"/>
      <c r="D180" s="4"/>
      <c r="E180" s="4"/>
      <c r="F180" s="4"/>
      <c r="G180" s="4"/>
      <c r="H180" s="4"/>
      <c r="I180" s="4"/>
      <c r="J180" s="4"/>
      <c r="K180" s="4"/>
      <c r="L180" s="4"/>
      <c r="M180" s="4"/>
      <c r="N180" s="4"/>
      <c r="O180" s="4"/>
      <c r="P180" s="4"/>
    </row>
    <row r="181" spans="2:16">
      <c r="B181" s="582"/>
      <c r="C181" s="4"/>
      <c r="D181" s="4"/>
      <c r="E181" s="4"/>
      <c r="F181" s="4"/>
      <c r="G181" s="598" t="s">
        <v>549</v>
      </c>
      <c r="H181" s="599" t="s">
        <v>551</v>
      </c>
      <c r="I181" s="598" t="s">
        <v>552</v>
      </c>
      <c r="J181" s="599" t="s">
        <v>551</v>
      </c>
      <c r="K181" s="598" t="s">
        <v>553</v>
      </c>
      <c r="L181" s="599" t="s">
        <v>551</v>
      </c>
      <c r="M181" s="600" t="s">
        <v>556</v>
      </c>
    </row>
    <row r="182" spans="2:16">
      <c r="B182" s="583" t="s">
        <v>547</v>
      </c>
      <c r="C182" s="519"/>
      <c r="D182" s="519"/>
      <c r="E182" s="586" t="s">
        <v>543</v>
      </c>
      <c r="F182" s="45"/>
      <c r="G182" s="601" t="s">
        <v>550</v>
      </c>
      <c r="H182" s="602" t="s">
        <v>291</v>
      </c>
      <c r="I182" s="601" t="s">
        <v>550</v>
      </c>
      <c r="J182" s="602" t="s">
        <v>291</v>
      </c>
      <c r="K182" s="601" t="s">
        <v>550</v>
      </c>
      <c r="L182" s="602" t="s">
        <v>291</v>
      </c>
      <c r="M182" s="603" t="s">
        <v>337</v>
      </c>
    </row>
    <row r="183" spans="2:16">
      <c r="C183" s="4"/>
      <c r="D183" s="4"/>
      <c r="E183" s="114"/>
      <c r="G183" s="4"/>
      <c r="H183" s="591"/>
      <c r="I183" s="4"/>
      <c r="J183" s="591"/>
      <c r="K183" s="4"/>
      <c r="L183" s="591"/>
      <c r="M183" s="4"/>
    </row>
    <row r="184" spans="2:16">
      <c r="B184" s="584" t="s">
        <v>545</v>
      </c>
      <c r="C184" s="114"/>
      <c r="D184" s="114"/>
      <c r="E184" s="587">
        <v>0.3</v>
      </c>
      <c r="G184" s="499">
        <f>F74</f>
        <v>869.15846137894869</v>
      </c>
      <c r="H184" s="592">
        <v>0.3</v>
      </c>
      <c r="I184" s="499">
        <f>F75</f>
        <v>583.94989678021034</v>
      </c>
      <c r="J184" s="592">
        <v>0.49999999999999994</v>
      </c>
      <c r="K184" s="499">
        <f>F76</f>
        <v>465.37595755389458</v>
      </c>
      <c r="L184" s="592">
        <v>0.2</v>
      </c>
      <c r="M184" s="499">
        <f>G184*H184+I184*J184+K184*L184</f>
        <v>645.79767831456866</v>
      </c>
    </row>
    <row r="185" spans="2:16">
      <c r="B185" s="593" t="s">
        <v>544</v>
      </c>
      <c r="C185" s="519"/>
      <c r="D185" s="519"/>
      <c r="E185" s="594">
        <v>0.3</v>
      </c>
      <c r="F185" s="45"/>
      <c r="G185" s="612">
        <f>F112</f>
        <v>860.14250983722036</v>
      </c>
      <c r="H185" s="595">
        <v>0.3</v>
      </c>
      <c r="I185" s="612">
        <f>F113</f>
        <v>595.10948852349986</v>
      </c>
      <c r="J185" s="595">
        <v>0.49999999999999994</v>
      </c>
      <c r="K185" s="612">
        <f>F114</f>
        <v>490.71584360847152</v>
      </c>
      <c r="L185" s="595">
        <v>0.2</v>
      </c>
      <c r="M185" s="613">
        <f>G185*H185+I185*J185+K185*L185</f>
        <v>653.74066593461032</v>
      </c>
    </row>
    <row r="186" spans="2:16">
      <c r="B186" s="584"/>
      <c r="C186" s="114"/>
      <c r="D186" s="114"/>
      <c r="E186" s="587"/>
      <c r="G186" s="491"/>
      <c r="H186" s="596"/>
      <c r="I186" s="491"/>
      <c r="J186" s="596"/>
      <c r="K186" s="491"/>
      <c r="L186" s="596"/>
      <c r="M186" s="4"/>
    </row>
    <row r="187" spans="2:16">
      <c r="B187" s="584"/>
      <c r="C187" s="114"/>
      <c r="D187" s="114"/>
      <c r="E187" s="587"/>
      <c r="G187" s="491"/>
      <c r="H187" s="597"/>
      <c r="I187" s="491"/>
      <c r="J187" s="597"/>
      <c r="K187" s="491"/>
      <c r="L187" s="597"/>
      <c r="M187" s="4"/>
    </row>
    <row r="188" spans="2:16">
      <c r="G188" s="604"/>
      <c r="H188" s="599" t="s">
        <v>551</v>
      </c>
      <c r="I188" s="605"/>
      <c r="J188" s="599" t="s">
        <v>551</v>
      </c>
      <c r="K188" s="598" t="s">
        <v>555</v>
      </c>
      <c r="L188" s="599" t="s">
        <v>551</v>
      </c>
      <c r="M188" s="600" t="s">
        <v>556</v>
      </c>
    </row>
    <row r="189" spans="2:16">
      <c r="B189" s="583" t="s">
        <v>548</v>
      </c>
      <c r="C189" s="519"/>
      <c r="D189" s="519"/>
      <c r="E189" s="586" t="s">
        <v>543</v>
      </c>
      <c r="G189" s="601" t="s">
        <v>269</v>
      </c>
      <c r="H189" s="602" t="s">
        <v>291</v>
      </c>
      <c r="I189" s="606" t="s">
        <v>270</v>
      </c>
      <c r="J189" s="602" t="s">
        <v>291</v>
      </c>
      <c r="K189" s="601" t="s">
        <v>534</v>
      </c>
      <c r="L189" s="602" t="s">
        <v>291</v>
      </c>
      <c r="M189" s="603" t="s">
        <v>337</v>
      </c>
    </row>
    <row r="190" spans="2:16">
      <c r="B190" s="582"/>
      <c r="C190" s="4"/>
      <c r="D190" s="4"/>
      <c r="E190" s="4"/>
      <c r="F190" s="46"/>
      <c r="G190" s="4"/>
      <c r="H190" s="591"/>
      <c r="I190" s="4"/>
      <c r="J190" s="591"/>
      <c r="K190" s="4"/>
      <c r="L190" s="591"/>
      <c r="M190" s="4"/>
    </row>
    <row r="191" spans="2:16">
      <c r="B191" s="593" t="s">
        <v>546</v>
      </c>
      <c r="C191" s="519"/>
      <c r="D191" s="519"/>
      <c r="E191" s="594">
        <v>0.4</v>
      </c>
      <c r="F191" s="45"/>
      <c r="G191" s="612">
        <f>Comps!K23</f>
        <v>636.62000187657384</v>
      </c>
      <c r="H191" s="595">
        <v>0.33300000000000002</v>
      </c>
      <c r="I191" s="612">
        <f>Comps!K24</f>
        <v>649.22777468109223</v>
      </c>
      <c r="J191" s="595">
        <v>0.33400000000000002</v>
      </c>
      <c r="K191" s="612">
        <f>(Comps!K25+Comps!K26)/2</f>
        <v>624.01222907205545</v>
      </c>
      <c r="L191" s="595">
        <v>0.33300000000000002</v>
      </c>
      <c r="M191" s="613">
        <f>G191*H191+I191*J191+K191*L191</f>
        <v>636.63260964937842</v>
      </c>
    </row>
    <row r="192" spans="2:16">
      <c r="B192" s="582"/>
      <c r="C192" s="4"/>
      <c r="D192" s="4"/>
      <c r="E192" s="4"/>
      <c r="F192" s="4"/>
      <c r="G192" s="4"/>
      <c r="H192" s="4"/>
      <c r="I192" s="4"/>
      <c r="J192" s="4"/>
      <c r="K192" s="4"/>
      <c r="L192" s="4"/>
      <c r="M192" s="4"/>
      <c r="N192" s="4"/>
      <c r="O192" s="4"/>
      <c r="P192" s="4"/>
    </row>
    <row r="193" spans="2:16">
      <c r="B193" s="582"/>
      <c r="C193" s="4"/>
      <c r="D193" s="4"/>
      <c r="E193" s="4"/>
      <c r="F193" s="4"/>
      <c r="G193" s="4"/>
      <c r="H193" s="4"/>
      <c r="I193" s="4"/>
      <c r="J193" s="4"/>
      <c r="K193" s="4"/>
      <c r="L193" s="4"/>
      <c r="M193" s="4"/>
      <c r="N193" s="4"/>
      <c r="O193" s="4"/>
      <c r="P193" s="4"/>
    </row>
    <row r="194" spans="2:16">
      <c r="B194" s="429" t="s">
        <v>567</v>
      </c>
      <c r="C194" s="47"/>
      <c r="D194" s="47"/>
      <c r="E194" s="47"/>
      <c r="F194" s="47"/>
      <c r="G194" s="47"/>
      <c r="H194" s="47"/>
      <c r="I194" s="47"/>
      <c r="J194" s="47"/>
      <c r="K194" s="47"/>
      <c r="L194" s="47"/>
      <c r="M194" s="47"/>
      <c r="N194" s="47"/>
      <c r="O194" s="47"/>
      <c r="P194" s="47"/>
    </row>
    <row r="195" spans="2:16">
      <c r="B195" s="582"/>
      <c r="C195" s="4"/>
      <c r="D195" s="4"/>
      <c r="E195" s="4"/>
      <c r="F195" s="4"/>
      <c r="G195" s="4"/>
      <c r="H195" s="4"/>
      <c r="I195" s="4"/>
      <c r="J195" s="4"/>
      <c r="K195" s="4"/>
      <c r="L195" s="4"/>
      <c r="M195" s="4"/>
      <c r="N195" s="4"/>
      <c r="O195" s="4"/>
      <c r="P195" s="4"/>
    </row>
    <row r="196" spans="2:16">
      <c r="C196" s="582" t="s">
        <v>542</v>
      </c>
      <c r="D196" s="615"/>
      <c r="F196" s="616" t="s">
        <v>332</v>
      </c>
      <c r="G196" s="617"/>
      <c r="H196" s="3"/>
      <c r="K196" s="582" t="s">
        <v>561</v>
      </c>
      <c r="L196" s="582"/>
      <c r="M196" s="4"/>
      <c r="N196" s="4"/>
      <c r="O196" s="4"/>
    </row>
    <row r="197" spans="2:16">
      <c r="C197" s="492" t="s">
        <v>558</v>
      </c>
      <c r="D197" s="492"/>
      <c r="E197" s="45"/>
      <c r="F197" s="492" t="s">
        <v>559</v>
      </c>
      <c r="G197" s="618"/>
      <c r="K197" s="582" t="s">
        <v>51</v>
      </c>
      <c r="L197" s="582"/>
      <c r="M197" s="4"/>
      <c r="N197" s="4"/>
      <c r="O197" s="4"/>
    </row>
    <row r="198" spans="2:16" s="3" customFormat="1">
      <c r="C198" s="619" t="s">
        <v>561</v>
      </c>
      <c r="D198" s="582"/>
      <c r="F198" s="619" t="s">
        <v>560</v>
      </c>
      <c r="G198" s="619"/>
      <c r="K198" s="621"/>
      <c r="L198" s="621"/>
      <c r="M198" s="512"/>
      <c r="N198" s="512"/>
      <c r="O198" s="512"/>
    </row>
    <row r="199" spans="2:16" s="3" customFormat="1">
      <c r="C199" s="582"/>
      <c r="D199" s="582"/>
      <c r="F199" s="582"/>
      <c r="G199" s="617"/>
      <c r="H199" s="1"/>
    </row>
    <row r="200" spans="2:16" s="3" customFormat="1">
      <c r="C200" s="646" t="s">
        <v>541</v>
      </c>
      <c r="D200" s="647"/>
      <c r="E200" s="641"/>
      <c r="F200" s="623" t="s">
        <v>564</v>
      </c>
      <c r="G200" s="624"/>
      <c r="H200" s="620">
        <v>-1</v>
      </c>
      <c r="K200" s="585" t="s">
        <v>535</v>
      </c>
      <c r="M200" s="292"/>
      <c r="O200" s="611">
        <f>M184*E184+E185*M185+E191*M191</f>
        <v>644.51454713450505</v>
      </c>
    </row>
    <row r="201" spans="2:16" s="3" customFormat="1">
      <c r="C201" s="648" t="s">
        <v>540</v>
      </c>
      <c r="D201" s="649"/>
      <c r="E201" s="642"/>
      <c r="F201" s="625" t="s">
        <v>566</v>
      </c>
      <c r="G201" s="626"/>
      <c r="H201" s="620">
        <v>-0.25</v>
      </c>
      <c r="K201" s="584" t="s">
        <v>536</v>
      </c>
      <c r="M201" s="114"/>
      <c r="O201" s="622">
        <f>Assumptions!K191</f>
        <v>881.91452991452991</v>
      </c>
    </row>
    <row r="202" spans="2:16" s="3" customFormat="1">
      <c r="C202" s="650" t="s">
        <v>539</v>
      </c>
      <c r="D202" s="651"/>
      <c r="E202" s="643"/>
      <c r="F202" s="627" t="s">
        <v>565</v>
      </c>
      <c r="G202" s="628"/>
      <c r="H202" s="620">
        <v>-0.1</v>
      </c>
      <c r="K202" s="593" t="s">
        <v>557</v>
      </c>
      <c r="L202" s="519"/>
      <c r="M202" s="519"/>
      <c r="N202" s="519"/>
      <c r="O202" s="633">
        <f>O200/O201-1</f>
        <v>-0.26918706374305035</v>
      </c>
    </row>
    <row r="203" spans="2:16">
      <c r="C203" s="652" t="s">
        <v>538</v>
      </c>
      <c r="D203" s="653"/>
      <c r="E203" s="644"/>
      <c r="F203" s="629" t="s">
        <v>563</v>
      </c>
      <c r="G203" s="630"/>
      <c r="H203" s="620">
        <v>0.1</v>
      </c>
    </row>
    <row r="204" spans="2:16">
      <c r="C204" s="654" t="s">
        <v>537</v>
      </c>
      <c r="D204" s="655"/>
      <c r="E204" s="645"/>
      <c r="F204" s="631" t="s">
        <v>562</v>
      </c>
      <c r="G204" s="632"/>
      <c r="H204" s="620">
        <v>0.25</v>
      </c>
      <c r="K204" s="586" t="s">
        <v>542</v>
      </c>
      <c r="L204" s="634"/>
      <c r="M204" s="634"/>
      <c r="N204" s="634"/>
      <c r="O204" s="208" t="str">
        <f>_xlfn.XLOOKUP(O202,H200:H204,C200:C204,"",-1)</f>
        <v>Strong Sell</v>
      </c>
    </row>
    <row r="205" spans="2:16">
      <c r="E205" s="504"/>
      <c r="G205" s="589"/>
      <c r="H205" s="491"/>
      <c r="L205" s="312"/>
      <c r="O205" s="491"/>
    </row>
    <row r="206" spans="2:16">
      <c r="B206" s="3"/>
      <c r="C206" s="3"/>
      <c r="D206" s="3"/>
      <c r="E206" s="579"/>
      <c r="F206" s="3"/>
      <c r="G206" s="588"/>
      <c r="H206" s="580"/>
    </row>
    <row r="207" spans="2:16">
      <c r="E207" s="504"/>
      <c r="G207" s="589"/>
      <c r="H207" s="491"/>
    </row>
    <row r="208" spans="2:16">
      <c r="E208" s="504"/>
    </row>
    <row r="209" spans="2:14">
      <c r="E209" s="504"/>
      <c r="N209" s="578"/>
    </row>
    <row r="210" spans="2:14">
      <c r="E210" s="504"/>
      <c r="N210" s="578"/>
    </row>
    <row r="211" spans="2:14">
      <c r="E211" s="504"/>
      <c r="G211" s="312"/>
      <c r="H211" s="312"/>
      <c r="N211" s="578"/>
    </row>
    <row r="212" spans="2:14">
      <c r="B212" s="3"/>
      <c r="C212" s="3"/>
      <c r="D212" s="3"/>
      <c r="E212" s="579"/>
      <c r="F212" s="3"/>
      <c r="G212" s="588"/>
      <c r="H212" s="580"/>
      <c r="N212" s="578"/>
    </row>
    <row r="213" spans="2:14">
      <c r="E213" s="504"/>
      <c r="G213" s="589"/>
      <c r="H213" s="491"/>
      <c r="N213" s="578"/>
    </row>
    <row r="214" spans="2:14">
      <c r="E214" s="504"/>
      <c r="N214" s="578"/>
    </row>
    <row r="215" spans="2:14">
      <c r="E215" s="504"/>
    </row>
    <row r="216" spans="2:14">
      <c r="E216" s="504"/>
    </row>
    <row r="217" spans="2:14">
      <c r="E217" s="504"/>
    </row>
    <row r="218" spans="2:14">
      <c r="E218" s="579"/>
      <c r="F218" s="3"/>
      <c r="G218" s="590"/>
      <c r="H218" s="580"/>
    </row>
    <row r="219" spans="2:14">
      <c r="E219" s="579"/>
      <c r="F219" s="3"/>
      <c r="G219" s="588"/>
      <c r="H219" s="580"/>
    </row>
    <row r="221" spans="2:14">
      <c r="E221" s="579"/>
      <c r="H221" s="580"/>
    </row>
    <row r="222" spans="2:14">
      <c r="E222" s="504"/>
      <c r="H222" s="491"/>
    </row>
    <row r="223" spans="2:14">
      <c r="E223" s="504"/>
      <c r="H223" s="581"/>
    </row>
    <row r="1048449" spans="2:16">
      <c r="B1048449" s="429"/>
      <c r="C1048449" s="47"/>
      <c r="D1048449" s="47"/>
      <c r="E1048449" s="47"/>
      <c r="F1048449" s="47"/>
      <c r="G1048449" s="47"/>
      <c r="H1048449" s="47"/>
      <c r="I1048449" s="47"/>
      <c r="J1048449" s="47"/>
      <c r="K1048449" s="47"/>
      <c r="L1048449" s="47"/>
      <c r="M1048449" s="47"/>
      <c r="N1048449" s="47"/>
      <c r="O1048449" s="47"/>
      <c r="P1048449" s="47"/>
    </row>
  </sheetData>
  <mergeCells count="8">
    <mergeCell ref="B133:B137"/>
    <mergeCell ref="J133:J137"/>
    <mergeCell ref="B84:B88"/>
    <mergeCell ref="J84:J88"/>
    <mergeCell ref="B95:B99"/>
    <mergeCell ref="J95:J99"/>
    <mergeCell ref="B122:B126"/>
    <mergeCell ref="J122:J126"/>
  </mergeCells>
  <pageMargins left="0.7" right="0.7" top="0.75" bottom="0.75" header="0.3" footer="0.3"/>
  <pageSetup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6147" r:id="rId3" name="Drop Down 3">
              <controlPr defaultSize="0" autoLine="0" autoPict="0">
                <anchor moveWithCells="1">
                  <from>
                    <xdr:col>2</xdr:col>
                    <xdr:colOff>749300</xdr:colOff>
                    <xdr:row>5</xdr:row>
                    <xdr:rowOff>12700</xdr:rowOff>
                  </from>
                  <to>
                    <xdr:col>5</xdr:col>
                    <xdr:colOff>76200</xdr:colOff>
                    <xdr:row>6</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6BDF2-FDB8-F44A-AF67-1C89A28709B5}">
  <sheetPr codeName="Sheet3"/>
  <dimension ref="A2:Q238"/>
  <sheetViews>
    <sheetView showGridLines="0" zoomScale="125" zoomScaleNormal="149" workbookViewId="0">
      <selection activeCell="M238" sqref="M238"/>
    </sheetView>
  </sheetViews>
  <sheetFormatPr baseColWidth="10" defaultRowHeight="16"/>
  <cols>
    <col min="1" max="3" width="10.83203125" style="1"/>
    <col min="4" max="4" width="13" style="1" customWidth="1"/>
    <col min="5" max="5" width="12.6640625" style="1" customWidth="1"/>
    <col min="6" max="7" width="10.83203125" style="1"/>
    <col min="8" max="8" width="13.33203125" style="1" customWidth="1"/>
    <col min="9" max="15" width="10.83203125" style="1"/>
    <col min="16" max="16" width="19.5" style="1" customWidth="1"/>
    <col min="17" max="16384" width="10.83203125" style="1"/>
  </cols>
  <sheetData>
    <row r="2" spans="1:13" ht="24">
      <c r="A2" s="1" t="s">
        <v>160</v>
      </c>
      <c r="B2" s="543" t="s">
        <v>523</v>
      </c>
      <c r="C2" s="137"/>
      <c r="D2" s="137"/>
      <c r="E2" s="137"/>
      <c r="F2" s="137"/>
      <c r="G2" s="137"/>
      <c r="H2" s="137"/>
      <c r="I2" s="137"/>
      <c r="J2" s="137"/>
      <c r="K2" s="137"/>
      <c r="L2" s="137"/>
      <c r="M2" s="137"/>
    </row>
    <row r="3" spans="1:13">
      <c r="B3" s="45"/>
      <c r="C3" s="45"/>
      <c r="D3" s="45"/>
      <c r="E3" s="45"/>
      <c r="F3" s="45"/>
      <c r="G3" s="45"/>
      <c r="H3" s="519"/>
      <c r="I3" s="45"/>
      <c r="J3" s="45"/>
      <c r="K3" s="45"/>
      <c r="L3" s="45"/>
      <c r="M3" s="45"/>
    </row>
    <row r="4" spans="1:13">
      <c r="B4" s="116" t="s">
        <v>132</v>
      </c>
      <c r="H4" s="114"/>
    </row>
    <row r="5" spans="1:13">
      <c r="H5" s="2"/>
    </row>
    <row r="6" spans="1:13">
      <c r="H6" s="47" t="s">
        <v>86</v>
      </c>
      <c r="I6" s="47"/>
      <c r="J6" s="47"/>
      <c r="K6" s="47"/>
      <c r="L6" s="47"/>
      <c r="M6" s="47"/>
    </row>
    <row r="7" spans="1:13" ht="19">
      <c r="B7" s="1">
        <f>Summary!D6</f>
        <v>2</v>
      </c>
      <c r="H7" s="44" t="s">
        <v>526</v>
      </c>
      <c r="I7" s="44" t="s">
        <v>78</v>
      </c>
      <c r="J7" s="44" t="s">
        <v>79</v>
      </c>
      <c r="K7" s="44" t="s">
        <v>80</v>
      </c>
      <c r="L7" s="44" t="s">
        <v>81</v>
      </c>
      <c r="M7" s="44" t="s">
        <v>264</v>
      </c>
    </row>
    <row r="8" spans="1:13">
      <c r="B8" s="110"/>
      <c r="H8" s="5"/>
      <c r="I8" s="5"/>
      <c r="J8" s="5"/>
      <c r="K8" s="6"/>
      <c r="L8" s="5"/>
      <c r="M8" s="5"/>
    </row>
    <row r="9" spans="1:13">
      <c r="B9" s="429" t="s">
        <v>143</v>
      </c>
      <c r="C9" s="47"/>
      <c r="D9" s="47"/>
      <c r="E9" s="47"/>
      <c r="F9" s="47"/>
    </row>
    <row r="10" spans="1:13">
      <c r="B10" s="110"/>
    </row>
    <row r="11" spans="1:13">
      <c r="B11" s="111" t="s">
        <v>113</v>
      </c>
      <c r="H11" s="150">
        <f t="shared" ref="H11:M11" si="0">CHOOSE($B$7,H13,H14,H15,)</f>
        <v>0.35</v>
      </c>
      <c r="I11" s="151">
        <f t="shared" si="0"/>
        <v>0.25</v>
      </c>
      <c r="J11" s="151">
        <f t="shared" si="0"/>
        <v>0.15</v>
      </c>
      <c r="K11" s="151">
        <f t="shared" si="0"/>
        <v>0.15</v>
      </c>
      <c r="L11" s="151">
        <f t="shared" si="0"/>
        <v>0.15</v>
      </c>
      <c r="M11" s="152">
        <f t="shared" si="0"/>
        <v>0.04</v>
      </c>
    </row>
    <row r="12" spans="1:13">
      <c r="B12" s="110"/>
      <c r="H12" s="224"/>
      <c r="I12" s="224"/>
      <c r="J12" s="224"/>
      <c r="K12" s="224"/>
      <c r="L12" s="224"/>
      <c r="M12" s="224"/>
    </row>
    <row r="13" spans="1:13">
      <c r="B13" s="110" t="s">
        <v>87</v>
      </c>
      <c r="F13" s="72" t="s">
        <v>98</v>
      </c>
      <c r="H13" s="144">
        <v>0.5</v>
      </c>
      <c r="I13" s="145">
        <v>0.28000000000000003</v>
      </c>
      <c r="J13" s="145">
        <v>0.28000000000000003</v>
      </c>
      <c r="K13" s="145">
        <v>0.28000000000000003</v>
      </c>
      <c r="L13" s="145">
        <v>0.28000000000000003</v>
      </c>
      <c r="M13" s="146">
        <v>0.05</v>
      </c>
    </row>
    <row r="14" spans="1:13">
      <c r="B14" s="110" t="s">
        <v>88</v>
      </c>
      <c r="F14" s="72" t="s">
        <v>98</v>
      </c>
      <c r="H14" s="147">
        <v>0.35</v>
      </c>
      <c r="I14" s="148">
        <v>0.25</v>
      </c>
      <c r="J14" s="148">
        <v>0.15</v>
      </c>
      <c r="K14" s="148">
        <v>0.15</v>
      </c>
      <c r="L14" s="148">
        <v>0.15</v>
      </c>
      <c r="M14" s="149">
        <v>0.04</v>
      </c>
    </row>
    <row r="15" spans="1:13">
      <c r="B15" s="110" t="s">
        <v>89</v>
      </c>
      <c r="F15" s="72" t="s">
        <v>98</v>
      </c>
      <c r="H15" s="131">
        <v>0.2</v>
      </c>
      <c r="I15" s="132">
        <v>0.22</v>
      </c>
      <c r="J15" s="132">
        <v>0.22</v>
      </c>
      <c r="K15" s="132">
        <v>0.22</v>
      </c>
      <c r="L15" s="132">
        <v>0.22</v>
      </c>
      <c r="M15" s="133">
        <v>0.03</v>
      </c>
    </row>
    <row r="16" spans="1:13">
      <c r="B16" s="110"/>
      <c r="H16" s="546"/>
      <c r="I16" s="546"/>
      <c r="J16" s="546"/>
      <c r="K16" s="546"/>
      <c r="L16" s="546"/>
      <c r="M16" s="546"/>
    </row>
    <row r="17" spans="2:13">
      <c r="B17" s="111" t="s">
        <v>114</v>
      </c>
      <c r="H17" s="150">
        <f t="shared" ref="H17:M17" si="1">CHOOSE($B$7,H19,H20,H21,)</f>
        <v>0.05</v>
      </c>
      <c r="I17" s="151">
        <f t="shared" si="1"/>
        <v>0.03</v>
      </c>
      <c r="J17" s="151">
        <f t="shared" si="1"/>
        <v>0.02</v>
      </c>
      <c r="K17" s="151">
        <f t="shared" si="1"/>
        <v>0.01</v>
      </c>
      <c r="L17" s="151">
        <f t="shared" si="1"/>
        <v>0</v>
      </c>
      <c r="M17" s="152">
        <f t="shared" si="1"/>
        <v>0</v>
      </c>
    </row>
    <row r="18" spans="2:13">
      <c r="B18" s="110"/>
      <c r="H18" s="547"/>
      <c r="I18" s="547"/>
      <c r="J18" s="547"/>
      <c r="K18" s="547"/>
      <c r="L18" s="547"/>
      <c r="M18" s="547"/>
    </row>
    <row r="19" spans="2:13">
      <c r="B19" s="110" t="s">
        <v>87</v>
      </c>
      <c r="F19" s="72" t="s">
        <v>98</v>
      </c>
      <c r="H19" s="144">
        <v>0.12</v>
      </c>
      <c r="I19" s="145">
        <v>0.06</v>
      </c>
      <c r="J19" s="145">
        <v>0.03</v>
      </c>
      <c r="K19" s="145">
        <v>0.02</v>
      </c>
      <c r="L19" s="145">
        <v>0.01</v>
      </c>
      <c r="M19" s="146">
        <v>0</v>
      </c>
    </row>
    <row r="20" spans="2:13">
      <c r="B20" s="110" t="s">
        <v>88</v>
      </c>
      <c r="F20" s="72" t="s">
        <v>98</v>
      </c>
      <c r="H20" s="147">
        <v>0.05</v>
      </c>
      <c r="I20" s="148">
        <v>0.03</v>
      </c>
      <c r="J20" s="148">
        <v>0.02</v>
      </c>
      <c r="K20" s="148">
        <v>0.01</v>
      </c>
      <c r="L20" s="148">
        <v>0</v>
      </c>
      <c r="M20" s="149">
        <v>0</v>
      </c>
    </row>
    <row r="21" spans="2:13">
      <c r="B21" s="110" t="s">
        <v>89</v>
      </c>
      <c r="F21" s="72" t="s">
        <v>98</v>
      </c>
      <c r="H21" s="544">
        <v>-0.05</v>
      </c>
      <c r="I21" s="132">
        <v>-0.05</v>
      </c>
      <c r="J21" s="132">
        <v>-0.03</v>
      </c>
      <c r="K21" s="132">
        <v>-0.02</v>
      </c>
      <c r="L21" s="132">
        <v>-0.01</v>
      </c>
      <c r="M21" s="133">
        <v>0</v>
      </c>
    </row>
    <row r="22" spans="2:13">
      <c r="B22" s="110"/>
      <c r="H22" s="546"/>
      <c r="I22" s="546"/>
      <c r="J22" s="546"/>
      <c r="K22" s="546"/>
      <c r="L22" s="546"/>
      <c r="M22" s="546"/>
    </row>
    <row r="23" spans="2:13">
      <c r="B23" s="111" t="s">
        <v>115</v>
      </c>
      <c r="H23" s="150">
        <f t="shared" ref="H23:M23" si="2">CHOOSE($B$7,H25,H26,H27,)</f>
        <v>0.08</v>
      </c>
      <c r="I23" s="151">
        <f t="shared" si="2"/>
        <v>7.0000000000000007E-2</v>
      </c>
      <c r="J23" s="151">
        <f t="shared" si="2"/>
        <v>6.5000000000000002E-2</v>
      </c>
      <c r="K23" s="151">
        <f t="shared" si="2"/>
        <v>6.5000000000000002E-2</v>
      </c>
      <c r="L23" s="151">
        <f t="shared" si="2"/>
        <v>6.5000000000000002E-2</v>
      </c>
      <c r="M23" s="152">
        <f t="shared" si="2"/>
        <v>2.5000000000000001E-2</v>
      </c>
    </row>
    <row r="24" spans="2:13">
      <c r="B24" s="110"/>
      <c r="H24" s="547"/>
      <c r="I24" s="547"/>
      <c r="J24" s="547"/>
      <c r="K24" s="547"/>
      <c r="L24" s="547"/>
      <c r="M24" s="547"/>
    </row>
    <row r="25" spans="2:13">
      <c r="B25" s="110" t="s">
        <v>87</v>
      </c>
      <c r="F25" s="72" t="s">
        <v>98</v>
      </c>
      <c r="H25" s="144">
        <v>0.12</v>
      </c>
      <c r="I25" s="145">
        <v>0.1</v>
      </c>
      <c r="J25" s="145">
        <v>0.08</v>
      </c>
      <c r="K25" s="145">
        <v>0.08</v>
      </c>
      <c r="L25" s="145">
        <v>0.08</v>
      </c>
      <c r="M25" s="146">
        <v>0.03</v>
      </c>
    </row>
    <row r="26" spans="2:13">
      <c r="B26" s="110" t="s">
        <v>88</v>
      </c>
      <c r="F26" s="72" t="s">
        <v>98</v>
      </c>
      <c r="H26" s="147">
        <v>0.08</v>
      </c>
      <c r="I26" s="148">
        <v>7.0000000000000007E-2</v>
      </c>
      <c r="J26" s="148">
        <v>6.5000000000000002E-2</v>
      </c>
      <c r="K26" s="148">
        <v>6.5000000000000002E-2</v>
      </c>
      <c r="L26" s="148">
        <v>6.5000000000000002E-2</v>
      </c>
      <c r="M26" s="149">
        <v>2.5000000000000001E-2</v>
      </c>
    </row>
    <row r="27" spans="2:13">
      <c r="B27" s="110" t="s">
        <v>89</v>
      </c>
      <c r="F27" s="72" t="s">
        <v>98</v>
      </c>
      <c r="H27" s="131">
        <v>0.03</v>
      </c>
      <c r="I27" s="132">
        <v>0.04</v>
      </c>
      <c r="J27" s="132">
        <v>0.05</v>
      </c>
      <c r="K27" s="132">
        <v>0.05</v>
      </c>
      <c r="L27" s="132">
        <v>0.05</v>
      </c>
      <c r="M27" s="133">
        <v>0.02</v>
      </c>
    </row>
    <row r="28" spans="2:13">
      <c r="B28" s="110"/>
      <c r="F28" s="72"/>
      <c r="H28" s="546"/>
      <c r="I28" s="546"/>
      <c r="J28" s="546"/>
      <c r="K28" s="546"/>
      <c r="L28" s="546"/>
      <c r="M28" s="546"/>
    </row>
    <row r="29" spans="2:13">
      <c r="B29" s="119"/>
      <c r="C29" s="45"/>
      <c r="D29" s="45"/>
      <c r="E29" s="45"/>
      <c r="F29" s="76"/>
      <c r="G29" s="45"/>
      <c r="H29" s="132"/>
      <c r="I29" s="132"/>
      <c r="J29" s="132"/>
      <c r="K29" s="132"/>
      <c r="L29" s="132"/>
      <c r="M29" s="132"/>
    </row>
    <row r="30" spans="2:13">
      <c r="B30" s="110"/>
      <c r="H30" s="548"/>
      <c r="I30" s="548"/>
      <c r="J30" s="548"/>
      <c r="K30" s="548"/>
      <c r="L30" s="548"/>
      <c r="M30" s="548"/>
    </row>
    <row r="31" spans="2:13">
      <c r="B31" s="429" t="s">
        <v>142</v>
      </c>
      <c r="C31" s="47"/>
      <c r="D31" s="47"/>
      <c r="E31" s="47"/>
      <c r="F31" s="47"/>
      <c r="H31" s="547"/>
      <c r="I31" s="547"/>
      <c r="J31" s="547"/>
      <c r="K31" s="547"/>
      <c r="L31" s="547"/>
      <c r="M31" s="547"/>
    </row>
    <row r="32" spans="2:13">
      <c r="B32" s="112"/>
      <c r="H32" s="547"/>
      <c r="I32" s="547"/>
      <c r="J32" s="547"/>
      <c r="K32" s="547"/>
      <c r="L32" s="547"/>
      <c r="M32" s="547"/>
    </row>
    <row r="33" spans="2:13">
      <c r="B33" s="111" t="s">
        <v>116</v>
      </c>
      <c r="H33" s="150">
        <f t="shared" ref="H33:M33" si="3">CHOOSE($B$7,H35,H36,H37,)</f>
        <v>0.04</v>
      </c>
      <c r="I33" s="151">
        <f t="shared" si="3"/>
        <v>2.5000000000000001E-2</v>
      </c>
      <c r="J33" s="151">
        <f t="shared" si="3"/>
        <v>2.5000000000000001E-2</v>
      </c>
      <c r="K33" s="151">
        <f t="shared" si="3"/>
        <v>2.5000000000000001E-2</v>
      </c>
      <c r="L33" s="151">
        <f t="shared" si="3"/>
        <v>2.5000000000000001E-2</v>
      </c>
      <c r="M33" s="152">
        <f t="shared" si="3"/>
        <v>0.02</v>
      </c>
    </row>
    <row r="34" spans="2:13">
      <c r="B34" s="110"/>
      <c r="H34" s="547"/>
      <c r="I34" s="547"/>
      <c r="J34" s="547"/>
      <c r="K34" s="547"/>
      <c r="L34" s="547"/>
      <c r="M34" s="547"/>
    </row>
    <row r="35" spans="2:13">
      <c r="B35" s="110" t="s">
        <v>87</v>
      </c>
      <c r="F35" s="72" t="s">
        <v>98</v>
      </c>
      <c r="H35" s="144">
        <v>0.08</v>
      </c>
      <c r="I35" s="145">
        <v>0.03</v>
      </c>
      <c r="J35" s="145">
        <v>0.03</v>
      </c>
      <c r="K35" s="145">
        <v>0.03</v>
      </c>
      <c r="L35" s="145">
        <v>0.03</v>
      </c>
      <c r="M35" s="146">
        <v>0.03</v>
      </c>
    </row>
    <row r="36" spans="2:13">
      <c r="B36" s="110" t="s">
        <v>88</v>
      </c>
      <c r="F36" s="72" t="s">
        <v>98</v>
      </c>
      <c r="H36" s="147">
        <v>0.04</v>
      </c>
      <c r="I36" s="148">
        <v>2.5000000000000001E-2</v>
      </c>
      <c r="J36" s="148">
        <v>2.5000000000000001E-2</v>
      </c>
      <c r="K36" s="148">
        <v>2.5000000000000001E-2</v>
      </c>
      <c r="L36" s="148">
        <v>2.5000000000000001E-2</v>
      </c>
      <c r="M36" s="149">
        <v>0.02</v>
      </c>
    </row>
    <row r="37" spans="2:13">
      <c r="B37" s="110" t="s">
        <v>89</v>
      </c>
      <c r="F37" s="72" t="s">
        <v>98</v>
      </c>
      <c r="H37" s="131">
        <v>0</v>
      </c>
      <c r="I37" s="132">
        <v>1.4999999999999999E-2</v>
      </c>
      <c r="J37" s="132">
        <v>1.4999999999999999E-2</v>
      </c>
      <c r="K37" s="132">
        <v>1.4999999999999999E-2</v>
      </c>
      <c r="L37" s="132">
        <v>1.4999999999999999E-2</v>
      </c>
      <c r="M37" s="133">
        <v>0.02</v>
      </c>
    </row>
    <row r="38" spans="2:13">
      <c r="B38" s="110"/>
      <c r="H38" s="547"/>
      <c r="I38" s="547"/>
      <c r="J38" s="547"/>
      <c r="K38" s="547"/>
      <c r="L38" s="547"/>
      <c r="M38" s="547"/>
    </row>
    <row r="39" spans="2:13">
      <c r="B39" s="111" t="s">
        <v>117</v>
      </c>
      <c r="H39" s="150">
        <f t="shared" ref="H39:M39" si="4">CHOOSE($B$7,H41,H42,H43,)</f>
        <v>0.01</v>
      </c>
      <c r="I39" s="151">
        <f t="shared" si="4"/>
        <v>0</v>
      </c>
      <c r="J39" s="151">
        <f t="shared" si="4"/>
        <v>0</v>
      </c>
      <c r="K39" s="151">
        <f t="shared" si="4"/>
        <v>0</v>
      </c>
      <c r="L39" s="151">
        <f t="shared" si="4"/>
        <v>0</v>
      </c>
      <c r="M39" s="152">
        <f t="shared" si="4"/>
        <v>0</v>
      </c>
    </row>
    <row r="40" spans="2:13">
      <c r="B40" s="110"/>
      <c r="H40" s="547"/>
      <c r="I40" s="547"/>
      <c r="J40" s="547"/>
      <c r="K40" s="547"/>
      <c r="L40" s="547"/>
      <c r="M40" s="547"/>
    </row>
    <row r="41" spans="2:13">
      <c r="B41" s="110" t="s">
        <v>87</v>
      </c>
      <c r="F41" s="72" t="s">
        <v>98</v>
      </c>
      <c r="H41" s="144">
        <v>0.03</v>
      </c>
      <c r="I41" s="145">
        <v>0.01</v>
      </c>
      <c r="J41" s="145">
        <v>0.01</v>
      </c>
      <c r="K41" s="145">
        <v>0.01</v>
      </c>
      <c r="L41" s="145">
        <v>0.01</v>
      </c>
      <c r="M41" s="146">
        <v>0.01</v>
      </c>
    </row>
    <row r="42" spans="2:13">
      <c r="B42" s="110" t="s">
        <v>88</v>
      </c>
      <c r="F42" s="72" t="s">
        <v>98</v>
      </c>
      <c r="H42" s="147">
        <v>0.01</v>
      </c>
      <c r="I42" s="148">
        <v>0</v>
      </c>
      <c r="J42" s="148">
        <v>0</v>
      </c>
      <c r="K42" s="148">
        <v>0</v>
      </c>
      <c r="L42" s="148">
        <v>0</v>
      </c>
      <c r="M42" s="149">
        <v>0</v>
      </c>
    </row>
    <row r="43" spans="2:13">
      <c r="B43" s="110" t="s">
        <v>89</v>
      </c>
      <c r="F43" s="72" t="s">
        <v>98</v>
      </c>
      <c r="H43" s="131">
        <v>-0.01</v>
      </c>
      <c r="I43" s="132">
        <v>-0.01</v>
      </c>
      <c r="J43" s="132">
        <v>-0.01</v>
      </c>
      <c r="K43" s="132">
        <v>-0.01</v>
      </c>
      <c r="L43" s="132">
        <v>-0.01</v>
      </c>
      <c r="M43" s="133">
        <v>-0.01</v>
      </c>
    </row>
    <row r="44" spans="2:13">
      <c r="B44" s="110"/>
      <c r="H44" s="547"/>
      <c r="I44" s="547"/>
      <c r="J44" s="547"/>
      <c r="K44" s="547"/>
      <c r="L44" s="547"/>
      <c r="M44" s="547"/>
    </row>
    <row r="45" spans="2:13">
      <c r="B45" s="111" t="s">
        <v>118</v>
      </c>
      <c r="H45" s="150">
        <f t="shared" ref="H45:M45" si="5">CHOOSE($B$7,H47,H48,H49,)</f>
        <v>0.02</v>
      </c>
      <c r="I45" s="151">
        <f t="shared" si="5"/>
        <v>0.02</v>
      </c>
      <c r="J45" s="151">
        <f t="shared" si="5"/>
        <v>0.02</v>
      </c>
      <c r="K45" s="151">
        <f t="shared" si="5"/>
        <v>0.02</v>
      </c>
      <c r="L45" s="151">
        <f t="shared" si="5"/>
        <v>0.02</v>
      </c>
      <c r="M45" s="152">
        <f t="shared" si="5"/>
        <v>0.02</v>
      </c>
    </row>
    <row r="46" spans="2:13">
      <c r="B46" s="110"/>
      <c r="H46" s="547"/>
      <c r="I46" s="547"/>
      <c r="J46" s="547"/>
      <c r="K46" s="547"/>
      <c r="L46" s="547"/>
      <c r="M46" s="547"/>
    </row>
    <row r="47" spans="2:13">
      <c r="B47" s="110" t="s">
        <v>87</v>
      </c>
      <c r="F47" s="72" t="s">
        <v>98</v>
      </c>
      <c r="H47" s="144">
        <v>0.05</v>
      </c>
      <c r="I47" s="145">
        <v>0.03</v>
      </c>
      <c r="J47" s="145">
        <v>0.03</v>
      </c>
      <c r="K47" s="145">
        <v>0.03</v>
      </c>
      <c r="L47" s="145">
        <v>0.03</v>
      </c>
      <c r="M47" s="146">
        <v>0.03</v>
      </c>
    </row>
    <row r="48" spans="2:13">
      <c r="B48" s="110" t="s">
        <v>88</v>
      </c>
      <c r="F48" s="72" t="s">
        <v>98</v>
      </c>
      <c r="H48" s="147">
        <v>0.02</v>
      </c>
      <c r="I48" s="148">
        <v>0.02</v>
      </c>
      <c r="J48" s="148">
        <v>0.02</v>
      </c>
      <c r="K48" s="148">
        <v>0.02</v>
      </c>
      <c r="L48" s="148">
        <v>0.02</v>
      </c>
      <c r="M48" s="149">
        <v>0.02</v>
      </c>
    </row>
    <row r="49" spans="2:13">
      <c r="B49" s="110" t="s">
        <v>89</v>
      </c>
      <c r="F49" s="72" t="s">
        <v>98</v>
      </c>
      <c r="H49" s="131">
        <v>0</v>
      </c>
      <c r="I49" s="132">
        <v>0</v>
      </c>
      <c r="J49" s="132">
        <v>0</v>
      </c>
      <c r="K49" s="132">
        <v>0</v>
      </c>
      <c r="L49" s="132">
        <v>0</v>
      </c>
      <c r="M49" s="133">
        <v>0</v>
      </c>
    </row>
    <row r="50" spans="2:13">
      <c r="B50" s="110"/>
      <c r="F50" s="72"/>
      <c r="H50" s="546"/>
      <c r="I50" s="546"/>
      <c r="J50" s="546"/>
      <c r="K50" s="546"/>
      <c r="L50" s="546"/>
      <c r="M50" s="546"/>
    </row>
    <row r="51" spans="2:13">
      <c r="B51" s="110"/>
      <c r="F51" s="72"/>
      <c r="H51" s="546"/>
      <c r="I51" s="546"/>
      <c r="J51" s="546"/>
      <c r="K51" s="546"/>
      <c r="L51" s="546"/>
      <c r="M51" s="546"/>
    </row>
    <row r="52" spans="2:13">
      <c r="B52" s="118"/>
      <c r="C52" s="46"/>
      <c r="D52" s="46"/>
      <c r="E52" s="46"/>
      <c r="F52" s="46"/>
      <c r="G52" s="46"/>
      <c r="H52" s="145"/>
      <c r="I52" s="145"/>
      <c r="J52" s="145"/>
      <c r="K52" s="145"/>
      <c r="L52" s="145"/>
      <c r="M52" s="145"/>
    </row>
    <row r="53" spans="2:13">
      <c r="B53" s="429" t="s">
        <v>144</v>
      </c>
      <c r="C53" s="47"/>
      <c r="D53" s="47"/>
      <c r="E53" s="47"/>
      <c r="F53" s="47"/>
      <c r="H53" s="546"/>
      <c r="I53" s="546"/>
      <c r="J53" s="546"/>
      <c r="K53" s="546"/>
      <c r="L53" s="546"/>
      <c r="M53" s="546"/>
    </row>
    <row r="54" spans="2:13">
      <c r="B54" s="110"/>
      <c r="H54" s="546"/>
      <c r="I54" s="546"/>
      <c r="J54" s="546"/>
      <c r="K54" s="546"/>
      <c r="L54" s="546"/>
      <c r="M54" s="546"/>
    </row>
    <row r="55" spans="2:13">
      <c r="B55" s="111" t="s">
        <v>120</v>
      </c>
      <c r="H55" s="150">
        <f t="shared" ref="H55:M55" si="6">CHOOSE($B$7,H57,H58,H59,)</f>
        <v>0.15</v>
      </c>
      <c r="I55" s="151">
        <f t="shared" si="6"/>
        <v>0.12</v>
      </c>
      <c r="J55" s="151">
        <f t="shared" si="6"/>
        <v>0.1</v>
      </c>
      <c r="K55" s="151">
        <f t="shared" si="6"/>
        <v>0.1</v>
      </c>
      <c r="L55" s="151">
        <f t="shared" si="6"/>
        <v>0.1</v>
      </c>
      <c r="M55" s="152">
        <f t="shared" si="6"/>
        <v>0.03</v>
      </c>
    </row>
    <row r="56" spans="2:13">
      <c r="B56" s="110"/>
      <c r="H56" s="547"/>
      <c r="I56" s="547"/>
      <c r="J56" s="547"/>
      <c r="K56" s="547"/>
      <c r="L56" s="547"/>
      <c r="M56" s="547"/>
    </row>
    <row r="57" spans="2:13">
      <c r="B57" s="110" t="s">
        <v>87</v>
      </c>
      <c r="F57" s="72" t="s">
        <v>98</v>
      </c>
      <c r="H57" s="549">
        <v>0.2</v>
      </c>
      <c r="I57" s="550">
        <v>0.15</v>
      </c>
      <c r="J57" s="550">
        <v>0.12</v>
      </c>
      <c r="K57" s="550">
        <v>0.12</v>
      </c>
      <c r="L57" s="550">
        <v>0.12</v>
      </c>
      <c r="M57" s="551">
        <v>0.04</v>
      </c>
    </row>
    <row r="58" spans="2:13">
      <c r="B58" s="110" t="s">
        <v>88</v>
      </c>
      <c r="F58" s="72" t="s">
        <v>98</v>
      </c>
      <c r="H58" s="552">
        <v>0.15</v>
      </c>
      <c r="I58" s="553">
        <v>0.12</v>
      </c>
      <c r="J58" s="553">
        <v>0.1</v>
      </c>
      <c r="K58" s="553">
        <v>0.1</v>
      </c>
      <c r="L58" s="553">
        <v>0.1</v>
      </c>
      <c r="M58" s="554">
        <v>0.03</v>
      </c>
    </row>
    <row r="59" spans="2:13">
      <c r="B59" s="110" t="s">
        <v>89</v>
      </c>
      <c r="F59" s="72" t="s">
        <v>98</v>
      </c>
      <c r="H59" s="251">
        <v>0.1</v>
      </c>
      <c r="I59" s="252">
        <v>0.09</v>
      </c>
      <c r="J59" s="252">
        <v>0.08</v>
      </c>
      <c r="K59" s="252">
        <v>0.08</v>
      </c>
      <c r="L59" s="252">
        <v>0.08</v>
      </c>
      <c r="M59" s="253">
        <v>0.02</v>
      </c>
    </row>
    <row r="60" spans="2:13">
      <c r="B60" s="110"/>
      <c r="F60" s="72"/>
      <c r="H60" s="546"/>
      <c r="I60" s="546"/>
      <c r="J60" s="546"/>
      <c r="K60" s="546"/>
      <c r="L60" s="546"/>
      <c r="M60" s="546"/>
    </row>
    <row r="61" spans="2:13">
      <c r="B61" s="110"/>
      <c r="F61" s="72"/>
      <c r="H61" s="546"/>
      <c r="I61" s="546"/>
      <c r="J61" s="546"/>
      <c r="K61" s="546"/>
      <c r="L61" s="546"/>
      <c r="M61" s="546"/>
    </row>
    <row r="62" spans="2:13">
      <c r="B62" s="118"/>
      <c r="C62" s="46"/>
      <c r="D62" s="46"/>
      <c r="E62" s="46"/>
      <c r="F62" s="77"/>
      <c r="G62" s="46"/>
      <c r="H62" s="145"/>
      <c r="I62" s="145"/>
      <c r="J62" s="145"/>
      <c r="K62" s="145"/>
      <c r="L62" s="145"/>
      <c r="M62" s="145"/>
    </row>
    <row r="63" spans="2:13">
      <c r="B63" s="429" t="s">
        <v>141</v>
      </c>
      <c r="C63" s="47"/>
      <c r="D63" s="47"/>
      <c r="E63" s="47"/>
      <c r="F63" s="47"/>
      <c r="H63" s="546"/>
      <c r="I63" s="546"/>
      <c r="J63" s="546"/>
      <c r="K63" s="546"/>
      <c r="L63" s="546"/>
      <c r="M63" s="546"/>
    </row>
    <row r="64" spans="2:13">
      <c r="B64" s="110"/>
      <c r="F64" s="72"/>
      <c r="H64" s="546"/>
      <c r="I64" s="546"/>
      <c r="J64" s="546"/>
      <c r="K64" s="546"/>
      <c r="L64" s="546"/>
      <c r="M64" s="546"/>
    </row>
    <row r="65" spans="2:13">
      <c r="B65" s="111" t="s">
        <v>125</v>
      </c>
      <c r="H65" s="150">
        <f t="shared" ref="H65:M65" si="7">CHOOSE($B$7,H67,H68,H69,)</f>
        <v>0.48</v>
      </c>
      <c r="I65" s="151">
        <f t="shared" si="7"/>
        <v>0.46</v>
      </c>
      <c r="J65" s="151">
        <f t="shared" si="7"/>
        <v>0.45</v>
      </c>
      <c r="K65" s="151">
        <f t="shared" si="7"/>
        <v>0.44</v>
      </c>
      <c r="L65" s="151">
        <f t="shared" si="7"/>
        <v>0.43</v>
      </c>
      <c r="M65" s="152">
        <f t="shared" si="7"/>
        <v>0.42</v>
      </c>
    </row>
    <row r="66" spans="2:13">
      <c r="B66" s="110"/>
      <c r="H66" s="547"/>
      <c r="I66" s="547"/>
      <c r="J66" s="547"/>
      <c r="K66" s="547"/>
      <c r="L66" s="547"/>
      <c r="M66" s="547"/>
    </row>
    <row r="67" spans="2:13">
      <c r="B67" s="110" t="s">
        <v>87</v>
      </c>
      <c r="F67" s="72" t="s">
        <v>121</v>
      </c>
      <c r="H67" s="144">
        <v>0.46</v>
      </c>
      <c r="I67" s="145">
        <v>0.44</v>
      </c>
      <c r="J67" s="145">
        <v>0.43</v>
      </c>
      <c r="K67" s="145">
        <v>0.42</v>
      </c>
      <c r="L67" s="145">
        <v>0.41</v>
      </c>
      <c r="M67" s="146">
        <v>0.4</v>
      </c>
    </row>
    <row r="68" spans="2:13">
      <c r="B68" s="110" t="s">
        <v>88</v>
      </c>
      <c r="F68" s="72" t="s">
        <v>121</v>
      </c>
      <c r="H68" s="147">
        <v>0.48</v>
      </c>
      <c r="I68" s="148">
        <v>0.46</v>
      </c>
      <c r="J68" s="148">
        <v>0.45</v>
      </c>
      <c r="K68" s="148">
        <v>0.44</v>
      </c>
      <c r="L68" s="148">
        <v>0.43</v>
      </c>
      <c r="M68" s="149">
        <v>0.42</v>
      </c>
    </row>
    <row r="69" spans="2:13">
      <c r="B69" s="110" t="s">
        <v>89</v>
      </c>
      <c r="F69" s="72" t="s">
        <v>121</v>
      </c>
      <c r="H69" s="131">
        <v>0.5</v>
      </c>
      <c r="I69" s="132">
        <v>0.48</v>
      </c>
      <c r="J69" s="132">
        <v>0.47</v>
      </c>
      <c r="K69" s="132">
        <v>0.46</v>
      </c>
      <c r="L69" s="132">
        <v>0.45</v>
      </c>
      <c r="M69" s="133">
        <v>0.44</v>
      </c>
    </row>
    <row r="70" spans="2:13">
      <c r="B70" s="110"/>
      <c r="F70" s="72"/>
      <c r="H70" s="546"/>
      <c r="I70" s="546"/>
      <c r="J70" s="546"/>
      <c r="K70" s="546"/>
      <c r="L70" s="546"/>
      <c r="M70" s="546"/>
    </row>
    <row r="71" spans="2:13">
      <c r="B71" s="111" t="s">
        <v>126</v>
      </c>
      <c r="H71" s="150">
        <f t="shared" ref="H71:M71" si="8">CHOOSE($B$7,H73,H74,H75,)</f>
        <v>0.52</v>
      </c>
      <c r="I71" s="151">
        <f t="shared" si="8"/>
        <v>0.5</v>
      </c>
      <c r="J71" s="151">
        <f t="shared" si="8"/>
        <v>0.49</v>
      </c>
      <c r="K71" s="151">
        <f t="shared" si="8"/>
        <v>0.48</v>
      </c>
      <c r="L71" s="151">
        <f t="shared" si="8"/>
        <v>0.47</v>
      </c>
      <c r="M71" s="152">
        <f t="shared" si="8"/>
        <v>0.48</v>
      </c>
    </row>
    <row r="72" spans="2:13">
      <c r="B72" s="110"/>
      <c r="H72" s="547"/>
      <c r="I72" s="547"/>
      <c r="J72" s="547"/>
      <c r="K72" s="547"/>
      <c r="L72" s="547"/>
      <c r="M72" s="547"/>
    </row>
    <row r="73" spans="2:13">
      <c r="B73" s="110" t="s">
        <v>87</v>
      </c>
      <c r="F73" s="72" t="s">
        <v>122</v>
      </c>
      <c r="H73" s="144">
        <v>0.5</v>
      </c>
      <c r="I73" s="145">
        <v>0.48</v>
      </c>
      <c r="J73" s="145">
        <v>0.47</v>
      </c>
      <c r="K73" s="145">
        <v>0.46</v>
      </c>
      <c r="L73" s="145">
        <v>0.45</v>
      </c>
      <c r="M73" s="146">
        <v>0.46</v>
      </c>
    </row>
    <row r="74" spans="2:13">
      <c r="B74" s="110" t="s">
        <v>88</v>
      </c>
      <c r="F74" s="72" t="s">
        <v>122</v>
      </c>
      <c r="H74" s="147">
        <v>0.52</v>
      </c>
      <c r="I74" s="148">
        <v>0.5</v>
      </c>
      <c r="J74" s="148">
        <v>0.49</v>
      </c>
      <c r="K74" s="148">
        <v>0.48</v>
      </c>
      <c r="L74" s="148">
        <v>0.47</v>
      </c>
      <c r="M74" s="149">
        <v>0.48</v>
      </c>
    </row>
    <row r="75" spans="2:13">
      <c r="B75" s="110" t="s">
        <v>89</v>
      </c>
      <c r="F75" s="72" t="s">
        <v>122</v>
      </c>
      <c r="H75" s="131">
        <v>0.54</v>
      </c>
      <c r="I75" s="132">
        <v>0.52</v>
      </c>
      <c r="J75" s="132">
        <v>0.51</v>
      </c>
      <c r="K75" s="132">
        <v>0.5</v>
      </c>
      <c r="L75" s="132">
        <v>0.49</v>
      </c>
      <c r="M75" s="133">
        <v>0.5</v>
      </c>
    </row>
    <row r="76" spans="2:13">
      <c r="B76" s="110"/>
      <c r="F76" s="72"/>
      <c r="H76" s="546"/>
      <c r="I76" s="546"/>
      <c r="J76" s="546"/>
      <c r="K76" s="546"/>
      <c r="L76" s="546"/>
      <c r="M76" s="546"/>
    </row>
    <row r="77" spans="2:13">
      <c r="B77" s="111" t="s">
        <v>18</v>
      </c>
      <c r="H77" s="150">
        <f t="shared" ref="H77:M77" si="9">CHOOSE($B$7,H79,H80,H81,)</f>
        <v>0.11</v>
      </c>
      <c r="I77" s="151">
        <f t="shared" si="9"/>
        <v>0.11</v>
      </c>
      <c r="J77" s="151">
        <f t="shared" si="9"/>
        <v>0.108</v>
      </c>
      <c r="K77" s="151">
        <f t="shared" si="9"/>
        <v>0.105</v>
      </c>
      <c r="L77" s="151">
        <f t="shared" si="9"/>
        <v>0.10199999999999999</v>
      </c>
      <c r="M77" s="152">
        <f t="shared" si="9"/>
        <v>0.1</v>
      </c>
    </row>
    <row r="78" spans="2:13">
      <c r="B78" s="110"/>
      <c r="H78" s="547"/>
      <c r="I78" s="547"/>
      <c r="J78" s="547"/>
      <c r="K78" s="547"/>
      <c r="L78" s="547"/>
      <c r="M78" s="547"/>
    </row>
    <row r="79" spans="2:13">
      <c r="B79" s="110" t="s">
        <v>87</v>
      </c>
      <c r="F79" s="72" t="s">
        <v>94</v>
      </c>
      <c r="H79" s="144">
        <v>0.1</v>
      </c>
      <c r="I79" s="145">
        <v>0.1</v>
      </c>
      <c r="J79" s="145">
        <v>0.10199999999999999</v>
      </c>
      <c r="K79" s="145">
        <v>9.9000000000000005E-2</v>
      </c>
      <c r="L79" s="145">
        <v>9.6000000000000002E-2</v>
      </c>
      <c r="M79" s="146">
        <v>9.8000000000000004E-2</v>
      </c>
    </row>
    <row r="80" spans="2:13">
      <c r="B80" s="110" t="s">
        <v>88</v>
      </c>
      <c r="F80" s="72" t="s">
        <v>94</v>
      </c>
      <c r="H80" s="147">
        <v>0.11</v>
      </c>
      <c r="I80" s="148">
        <v>0.11</v>
      </c>
      <c r="J80" s="148">
        <v>0.108</v>
      </c>
      <c r="K80" s="148">
        <v>0.105</v>
      </c>
      <c r="L80" s="148">
        <v>0.10199999999999999</v>
      </c>
      <c r="M80" s="149">
        <v>0.1</v>
      </c>
    </row>
    <row r="81" spans="2:13">
      <c r="B81" s="110" t="s">
        <v>89</v>
      </c>
      <c r="F81" s="72" t="s">
        <v>94</v>
      </c>
      <c r="H81" s="131">
        <v>0.12</v>
      </c>
      <c r="I81" s="132">
        <v>0.12</v>
      </c>
      <c r="J81" s="132">
        <v>0.114</v>
      </c>
      <c r="K81" s="132">
        <v>0.111</v>
      </c>
      <c r="L81" s="132">
        <v>0.108</v>
      </c>
      <c r="M81" s="133">
        <v>0.10199999999999999</v>
      </c>
    </row>
    <row r="82" spans="2:13">
      <c r="B82" s="110"/>
      <c r="F82" s="72"/>
      <c r="H82" s="546"/>
      <c r="I82" s="546"/>
      <c r="J82" s="546"/>
      <c r="K82" s="546"/>
      <c r="L82" s="546"/>
      <c r="M82" s="546"/>
    </row>
    <row r="83" spans="2:13">
      <c r="B83" s="111" t="s">
        <v>19</v>
      </c>
      <c r="H83" s="150">
        <f t="shared" ref="H83:M83" si="10">CHOOSE($B$7,H85,H86,H87,)</f>
        <v>0.04</v>
      </c>
      <c r="I83" s="151">
        <f t="shared" si="10"/>
        <v>0.04</v>
      </c>
      <c r="J83" s="151">
        <f t="shared" si="10"/>
        <v>3.9E-2</v>
      </c>
      <c r="K83" s="151">
        <f t="shared" si="10"/>
        <v>3.7999999999999999E-2</v>
      </c>
      <c r="L83" s="151">
        <f t="shared" si="10"/>
        <v>3.7999999999999999E-2</v>
      </c>
      <c r="M83" s="152">
        <f t="shared" si="10"/>
        <v>3.7999999999999999E-2</v>
      </c>
    </row>
    <row r="84" spans="2:13">
      <c r="B84" s="110"/>
      <c r="H84" s="547"/>
      <c r="I84" s="547"/>
      <c r="J84" s="547"/>
      <c r="K84" s="547"/>
      <c r="L84" s="547"/>
      <c r="M84" s="547"/>
    </row>
    <row r="85" spans="2:13">
      <c r="B85" s="110" t="s">
        <v>87</v>
      </c>
      <c r="F85" s="72" t="s">
        <v>94</v>
      </c>
      <c r="H85" s="144">
        <v>3.5000000000000003E-2</v>
      </c>
      <c r="I85" s="145">
        <v>3.5000000000000003E-2</v>
      </c>
      <c r="J85" s="145">
        <v>3.5999999999999997E-2</v>
      </c>
      <c r="K85" s="145">
        <v>3.5000000000000003E-2</v>
      </c>
      <c r="L85" s="145">
        <v>3.5000000000000003E-2</v>
      </c>
      <c r="M85" s="146">
        <v>3.5000000000000003E-2</v>
      </c>
    </row>
    <row r="86" spans="2:13">
      <c r="B86" s="110" t="s">
        <v>88</v>
      </c>
      <c r="F86" s="72" t="s">
        <v>94</v>
      </c>
      <c r="H86" s="147">
        <v>0.04</v>
      </c>
      <c r="I86" s="148">
        <v>0.04</v>
      </c>
      <c r="J86" s="148">
        <v>3.9E-2</v>
      </c>
      <c r="K86" s="148">
        <v>3.7999999999999999E-2</v>
      </c>
      <c r="L86" s="148">
        <v>3.7999999999999999E-2</v>
      </c>
      <c r="M86" s="149">
        <v>3.7999999999999999E-2</v>
      </c>
    </row>
    <row r="87" spans="2:13">
      <c r="B87" s="110" t="s">
        <v>89</v>
      </c>
      <c r="F87" s="72" t="s">
        <v>94</v>
      </c>
      <c r="H87" s="131">
        <v>4.4999999999999998E-2</v>
      </c>
      <c r="I87" s="132">
        <v>4.4999999999999998E-2</v>
      </c>
      <c r="J87" s="132">
        <v>4.2000000000000003E-2</v>
      </c>
      <c r="K87" s="132">
        <v>4.1000000000000002E-2</v>
      </c>
      <c r="L87" s="132">
        <v>4.1000000000000002E-2</v>
      </c>
      <c r="M87" s="133">
        <v>4.1000000000000002E-2</v>
      </c>
    </row>
    <row r="88" spans="2:13">
      <c r="B88" s="110"/>
      <c r="F88" s="72"/>
      <c r="H88" s="88"/>
      <c r="I88" s="88"/>
      <c r="J88" s="88"/>
      <c r="K88" s="88"/>
      <c r="L88" s="88"/>
      <c r="M88" s="88"/>
    </row>
    <row r="89" spans="2:13">
      <c r="B89" s="110"/>
      <c r="F89" s="72"/>
      <c r="H89" s="88"/>
      <c r="I89" s="88"/>
      <c r="J89" s="88"/>
      <c r="K89" s="88"/>
      <c r="L89" s="88"/>
      <c r="M89" s="88"/>
    </row>
    <row r="90" spans="2:13">
      <c r="B90" s="118"/>
      <c r="C90" s="46"/>
      <c r="D90" s="46"/>
      <c r="E90" s="46"/>
      <c r="F90" s="77"/>
      <c r="G90" s="46"/>
      <c r="H90" s="87"/>
      <c r="I90" s="87"/>
      <c r="J90" s="87"/>
      <c r="K90" s="87"/>
      <c r="L90" s="87"/>
      <c r="M90" s="87"/>
    </row>
    <row r="91" spans="2:13">
      <c r="B91" s="429" t="s">
        <v>140</v>
      </c>
      <c r="C91" s="47"/>
      <c r="D91" s="47"/>
      <c r="E91" s="47"/>
      <c r="F91" s="47"/>
      <c r="H91" s="143"/>
      <c r="I91" s="143"/>
      <c r="J91" s="143"/>
      <c r="K91" s="143"/>
      <c r="L91" s="143"/>
      <c r="M91" s="143"/>
    </row>
    <row r="92" spans="2:13">
      <c r="B92" s="110"/>
      <c r="F92" s="72"/>
      <c r="H92" s="88"/>
      <c r="I92" s="88"/>
      <c r="J92" s="88"/>
      <c r="K92" s="88"/>
      <c r="L92" s="88"/>
      <c r="M92" s="88"/>
    </row>
    <row r="93" spans="2:13" ht="19">
      <c r="B93" s="3" t="s">
        <v>525</v>
      </c>
      <c r="H93" s="150">
        <f t="shared" ref="H93:M93" si="11">CHOOSE($B$7,H95,H96,H97,)</f>
        <v>7.0000000000000007E-2</v>
      </c>
      <c r="I93" s="151">
        <f t="shared" si="11"/>
        <v>6.5000000000000002E-2</v>
      </c>
      <c r="J93" s="151">
        <f t="shared" si="11"/>
        <v>0.06</v>
      </c>
      <c r="K93" s="151">
        <f t="shared" si="11"/>
        <v>5.5E-2</v>
      </c>
      <c r="L93" s="151">
        <f t="shared" si="11"/>
        <v>0.05</v>
      </c>
      <c r="M93" s="151">
        <f t="shared" si="11"/>
        <v>4.4999999999999998E-2</v>
      </c>
    </row>
    <row r="94" spans="2:13">
      <c r="B94" s="110"/>
      <c r="H94" s="547"/>
      <c r="I94" s="547"/>
      <c r="J94" s="547"/>
      <c r="K94" s="547"/>
      <c r="L94" s="547"/>
      <c r="M94" s="547"/>
    </row>
    <row r="95" spans="2:13">
      <c r="B95" s="110" t="s">
        <v>87</v>
      </c>
      <c r="F95" s="72" t="s">
        <v>94</v>
      </c>
      <c r="H95" s="549">
        <v>0.06</v>
      </c>
      <c r="I95" s="145">
        <v>0.06</v>
      </c>
      <c r="J95" s="145">
        <v>5.5E-2</v>
      </c>
      <c r="K95" s="145">
        <v>0.05</v>
      </c>
      <c r="L95" s="145">
        <v>4.4999999999999998E-2</v>
      </c>
      <c r="M95" s="551">
        <v>0.04</v>
      </c>
    </row>
    <row r="96" spans="2:13">
      <c r="B96" s="110" t="s">
        <v>88</v>
      </c>
      <c r="F96" s="72" t="s">
        <v>94</v>
      </c>
      <c r="H96" s="147">
        <v>7.0000000000000007E-2</v>
      </c>
      <c r="I96" s="148">
        <v>6.5000000000000002E-2</v>
      </c>
      <c r="J96" s="148">
        <v>0.06</v>
      </c>
      <c r="K96" s="148">
        <v>5.5E-2</v>
      </c>
      <c r="L96" s="148">
        <v>0.05</v>
      </c>
      <c r="M96" s="554">
        <v>4.4999999999999998E-2</v>
      </c>
    </row>
    <row r="97" spans="1:13">
      <c r="B97" s="110" t="s">
        <v>89</v>
      </c>
      <c r="F97" s="72" t="s">
        <v>94</v>
      </c>
      <c r="H97" s="131">
        <v>0.08</v>
      </c>
      <c r="I97" s="132">
        <v>7.0000000000000007E-2</v>
      </c>
      <c r="J97" s="132">
        <v>6.5000000000000002E-2</v>
      </c>
      <c r="K97" s="132">
        <v>0.06</v>
      </c>
      <c r="L97" s="132">
        <v>5.5E-2</v>
      </c>
      <c r="M97" s="253">
        <v>0.05</v>
      </c>
    </row>
    <row r="98" spans="1:13">
      <c r="B98" s="110"/>
      <c r="F98" s="72"/>
      <c r="H98" s="546"/>
      <c r="I98" s="546"/>
      <c r="J98" s="546"/>
      <c r="K98" s="546"/>
      <c r="L98" s="546"/>
      <c r="M98" s="546"/>
    </row>
    <row r="99" spans="1:13">
      <c r="B99" s="111" t="s">
        <v>165</v>
      </c>
      <c r="H99" s="150">
        <f t="shared" ref="H99:M99" si="12">CHOOSE($B$7,H101,H102,H103,)</f>
        <v>0.04</v>
      </c>
      <c r="I99" s="151">
        <f t="shared" si="12"/>
        <v>3.5000000000000003E-2</v>
      </c>
      <c r="J99" s="151">
        <f t="shared" si="12"/>
        <v>0.03</v>
      </c>
      <c r="K99" s="151">
        <f t="shared" si="12"/>
        <v>2.5000000000000001E-2</v>
      </c>
      <c r="L99" s="151">
        <f t="shared" si="12"/>
        <v>0.02</v>
      </c>
      <c r="M99" s="152">
        <f t="shared" si="12"/>
        <v>0.02</v>
      </c>
    </row>
    <row r="100" spans="1:13">
      <c r="B100" s="110"/>
      <c r="H100" s="547"/>
      <c r="I100" s="547"/>
      <c r="J100" s="547"/>
      <c r="K100" s="547"/>
      <c r="L100" s="547"/>
      <c r="M100" s="547"/>
    </row>
    <row r="101" spans="1:13">
      <c r="B101" s="110" t="s">
        <v>87</v>
      </c>
      <c r="F101" s="72" t="s">
        <v>94</v>
      </c>
      <c r="H101" s="549">
        <v>0.03</v>
      </c>
      <c r="I101" s="550">
        <v>0.03</v>
      </c>
      <c r="J101" s="550">
        <v>2.5000000000000001E-2</v>
      </c>
      <c r="K101" s="550">
        <v>0.02</v>
      </c>
      <c r="L101" s="550">
        <v>1.4999999999999999E-2</v>
      </c>
      <c r="M101" s="551">
        <v>1.4999999999999999E-2</v>
      </c>
    </row>
    <row r="102" spans="1:13">
      <c r="B102" s="110" t="s">
        <v>88</v>
      </c>
      <c r="F102" s="72" t="s">
        <v>94</v>
      </c>
      <c r="H102" s="552">
        <v>0.04</v>
      </c>
      <c r="I102" s="553">
        <v>3.5000000000000003E-2</v>
      </c>
      <c r="J102" s="553">
        <v>0.03</v>
      </c>
      <c r="K102" s="553">
        <v>2.5000000000000001E-2</v>
      </c>
      <c r="L102" s="553">
        <v>0.02</v>
      </c>
      <c r="M102" s="554">
        <v>0.02</v>
      </c>
    </row>
    <row r="103" spans="1:13">
      <c r="B103" s="110" t="s">
        <v>89</v>
      </c>
      <c r="F103" s="72" t="s">
        <v>94</v>
      </c>
      <c r="H103" s="251">
        <v>0.05</v>
      </c>
      <c r="I103" s="252">
        <v>0.04</v>
      </c>
      <c r="J103" s="252">
        <v>3.5000000000000003E-2</v>
      </c>
      <c r="K103" s="252">
        <v>0.03</v>
      </c>
      <c r="L103" s="252">
        <v>2.5000000000000001E-2</v>
      </c>
      <c r="M103" s="253">
        <v>2.5000000000000001E-2</v>
      </c>
    </row>
    <row r="104" spans="1:13">
      <c r="B104" s="110"/>
      <c r="F104" s="72"/>
      <c r="H104" s="88"/>
      <c r="I104" s="88"/>
      <c r="J104" s="88"/>
      <c r="K104" s="88"/>
      <c r="L104" s="88"/>
      <c r="M104" s="88"/>
    </row>
    <row r="105" spans="1:13">
      <c r="B105" s="110"/>
      <c r="F105" s="72"/>
      <c r="H105" s="88"/>
      <c r="I105" s="88"/>
      <c r="J105" s="88"/>
      <c r="K105" s="88"/>
      <c r="L105" s="88"/>
      <c r="M105" s="337" t="s">
        <v>527</v>
      </c>
    </row>
    <row r="106" spans="1:13">
      <c r="H106" s="89"/>
      <c r="I106" s="89"/>
      <c r="J106" s="89"/>
      <c r="K106" s="89"/>
      <c r="L106" s="89"/>
      <c r="M106" s="375" t="s">
        <v>431</v>
      </c>
    </row>
    <row r="107" spans="1:13">
      <c r="H107" s="89"/>
      <c r="I107" s="89"/>
      <c r="J107" s="89"/>
      <c r="K107" s="89"/>
      <c r="L107" s="89"/>
      <c r="M107" s="89"/>
    </row>
    <row r="108" spans="1:13" ht="24">
      <c r="A108" s="1" t="s">
        <v>160</v>
      </c>
      <c r="B108" s="543" t="s">
        <v>524</v>
      </c>
      <c r="C108" s="137"/>
      <c r="D108" s="137"/>
      <c r="E108" s="137"/>
      <c r="F108" s="137"/>
      <c r="G108" s="137"/>
      <c r="H108" s="137"/>
      <c r="I108" s="137"/>
      <c r="J108" s="137"/>
      <c r="K108" s="137"/>
      <c r="L108" s="137"/>
      <c r="M108" s="137"/>
    </row>
    <row r="109" spans="1:13">
      <c r="B109" s="45"/>
      <c r="C109" s="45"/>
      <c r="D109" s="45"/>
      <c r="E109" s="45"/>
      <c r="F109" s="45"/>
      <c r="G109" s="45"/>
      <c r="H109" s="519"/>
      <c r="I109" s="45"/>
      <c r="J109" s="45"/>
      <c r="K109" s="45"/>
      <c r="L109" s="45"/>
      <c r="M109" s="45"/>
    </row>
    <row r="110" spans="1:13">
      <c r="B110" s="116" t="s">
        <v>132</v>
      </c>
      <c r="H110" s="114"/>
    </row>
    <row r="111" spans="1:13">
      <c r="B111" s="116"/>
      <c r="H111" s="114"/>
    </row>
    <row r="112" spans="1:13">
      <c r="B112" s="429" t="s">
        <v>139</v>
      </c>
      <c r="C112" s="47"/>
      <c r="D112" s="47"/>
      <c r="E112" s="47"/>
      <c r="F112" s="47"/>
      <c r="H112" s="114"/>
    </row>
    <row r="113" spans="2:13">
      <c r="E113" s="511"/>
      <c r="F113" s="10"/>
      <c r="H113" s="114"/>
    </row>
    <row r="114" spans="2:13">
      <c r="B114" s="46" t="s">
        <v>304</v>
      </c>
      <c r="C114" s="46"/>
      <c r="D114" s="237">
        <v>45931</v>
      </c>
      <c r="F114" s="77" t="s">
        <v>310</v>
      </c>
      <c r="H114" s="114"/>
    </row>
    <row r="115" spans="2:13">
      <c r="B115" s="1" t="s">
        <v>106</v>
      </c>
      <c r="D115" s="238">
        <v>45931</v>
      </c>
      <c r="F115" s="72" t="s">
        <v>310</v>
      </c>
      <c r="H115" s="114"/>
    </row>
    <row r="116" spans="2:13">
      <c r="B116" s="1" t="s">
        <v>305</v>
      </c>
      <c r="D116" s="238">
        <v>46112</v>
      </c>
      <c r="F116" s="72" t="s">
        <v>310</v>
      </c>
      <c r="H116" s="114"/>
    </row>
    <row r="117" spans="2:13">
      <c r="B117" s="1" t="s">
        <v>487</v>
      </c>
      <c r="D117" s="238">
        <v>46022</v>
      </c>
      <c r="F117" s="72" t="s">
        <v>310</v>
      </c>
      <c r="H117" s="114"/>
    </row>
    <row r="118" spans="2:13">
      <c r="B118" s="45" t="s">
        <v>99</v>
      </c>
      <c r="C118" s="45"/>
      <c r="D118" s="239">
        <v>365</v>
      </c>
      <c r="E118" s="45"/>
      <c r="F118" s="76" t="s">
        <v>107</v>
      </c>
      <c r="H118" s="114"/>
    </row>
    <row r="119" spans="2:13">
      <c r="D119" s="227"/>
      <c r="E119" s="10"/>
      <c r="F119" s="72"/>
      <c r="H119" s="114"/>
    </row>
    <row r="120" spans="2:13">
      <c r="I120" s="114"/>
    </row>
    <row r="122" spans="2:13">
      <c r="B122" s="46"/>
      <c r="C122" s="46"/>
      <c r="D122" s="46"/>
      <c r="E122" s="46"/>
      <c r="F122" s="46"/>
      <c r="G122" s="46"/>
      <c r="H122" s="141"/>
      <c r="I122" s="46"/>
      <c r="J122" s="46"/>
      <c r="K122" s="46"/>
      <c r="L122" s="46"/>
      <c r="M122" s="46"/>
    </row>
    <row r="123" spans="2:13">
      <c r="B123" s="429" t="s">
        <v>138</v>
      </c>
      <c r="C123" s="47"/>
      <c r="D123" s="47"/>
      <c r="E123" s="47"/>
      <c r="F123" s="47"/>
      <c r="H123" s="47" t="s">
        <v>86</v>
      </c>
      <c r="I123" s="47"/>
      <c r="J123" s="47"/>
      <c r="K123" s="47"/>
      <c r="L123" s="47"/>
      <c r="M123" s="47"/>
    </row>
    <row r="124" spans="2:13">
      <c r="B124" s="3"/>
      <c r="H124" s="44" t="s">
        <v>15</v>
      </c>
      <c r="I124" s="44" t="s">
        <v>78</v>
      </c>
      <c r="J124" s="44" t="s">
        <v>79</v>
      </c>
      <c r="K124" s="44" t="s">
        <v>80</v>
      </c>
      <c r="L124" s="44" t="s">
        <v>81</v>
      </c>
      <c r="M124" s="44" t="s">
        <v>264</v>
      </c>
    </row>
    <row r="125" spans="2:13">
      <c r="B125" s="120"/>
      <c r="C125" s="45"/>
      <c r="D125" s="45"/>
      <c r="E125" s="45"/>
      <c r="F125" s="45"/>
    </row>
    <row r="126" spans="2:13">
      <c r="B126" s="118" t="s">
        <v>23</v>
      </c>
      <c r="C126" s="46"/>
      <c r="D126" s="73"/>
      <c r="E126" s="77"/>
      <c r="F126" s="77" t="s">
        <v>92</v>
      </c>
      <c r="H126" s="240">
        <v>55</v>
      </c>
      <c r="I126" s="241">
        <v>53</v>
      </c>
      <c r="J126" s="241">
        <v>50</v>
      </c>
      <c r="K126" s="241">
        <v>50</v>
      </c>
      <c r="L126" s="241">
        <v>50</v>
      </c>
      <c r="M126" s="242">
        <v>50</v>
      </c>
    </row>
    <row r="127" spans="2:13">
      <c r="B127" s="110" t="s">
        <v>93</v>
      </c>
      <c r="D127" s="74"/>
      <c r="E127" s="72"/>
      <c r="F127" s="72" t="s">
        <v>92</v>
      </c>
      <c r="H127" s="243">
        <v>70</v>
      </c>
      <c r="I127" s="244">
        <v>75</v>
      </c>
      <c r="J127" s="244">
        <v>75</v>
      </c>
      <c r="K127" s="244">
        <v>75</v>
      </c>
      <c r="L127" s="244">
        <v>75</v>
      </c>
      <c r="M127" s="245">
        <v>70</v>
      </c>
    </row>
    <row r="128" spans="2:13">
      <c r="B128" s="119" t="s">
        <v>91</v>
      </c>
      <c r="C128" s="45"/>
      <c r="D128" s="75"/>
      <c r="E128" s="76"/>
      <c r="F128" s="76" t="s">
        <v>92</v>
      </c>
      <c r="H128" s="246">
        <v>289</v>
      </c>
      <c r="I128" s="247">
        <v>270</v>
      </c>
      <c r="J128" s="247">
        <v>250</v>
      </c>
      <c r="K128" s="247">
        <v>230</v>
      </c>
      <c r="L128" s="247">
        <v>220</v>
      </c>
      <c r="M128" s="248">
        <v>210</v>
      </c>
    </row>
    <row r="129" spans="2:13">
      <c r="B129" s="110"/>
      <c r="D129" s="74"/>
      <c r="H129" s="249"/>
      <c r="I129" s="249"/>
      <c r="J129" s="249"/>
      <c r="K129" s="249"/>
      <c r="L129" s="249"/>
      <c r="M129" s="249"/>
    </row>
    <row r="130" spans="2:13">
      <c r="B130" s="118" t="s">
        <v>90</v>
      </c>
      <c r="C130" s="46"/>
      <c r="D130" s="73"/>
      <c r="E130" s="77"/>
      <c r="F130" s="77" t="s">
        <v>94</v>
      </c>
      <c r="H130" s="228">
        <v>0.01</v>
      </c>
      <c r="I130" s="229">
        <v>0.01</v>
      </c>
      <c r="J130" s="229">
        <v>0.01</v>
      </c>
      <c r="K130" s="229">
        <v>0.01</v>
      </c>
      <c r="L130" s="229">
        <v>0.01</v>
      </c>
      <c r="M130" s="230">
        <v>0.01</v>
      </c>
    </row>
    <row r="131" spans="2:13">
      <c r="B131" s="110" t="s">
        <v>128</v>
      </c>
      <c r="D131" s="74"/>
      <c r="E131" s="72"/>
      <c r="F131" s="72" t="s">
        <v>94</v>
      </c>
      <c r="H131" s="231">
        <v>0.42</v>
      </c>
      <c r="I131" s="250">
        <v>0.41</v>
      </c>
      <c r="J131" s="250">
        <v>0.4</v>
      </c>
      <c r="K131" s="250">
        <v>0.4</v>
      </c>
      <c r="L131" s="250">
        <v>0.4</v>
      </c>
      <c r="M131" s="233">
        <v>0.38</v>
      </c>
    </row>
    <row r="132" spans="2:13">
      <c r="B132" s="119" t="s">
        <v>129</v>
      </c>
      <c r="C132" s="45"/>
      <c r="D132" s="75"/>
      <c r="E132" s="76"/>
      <c r="F132" s="76" t="s">
        <v>94</v>
      </c>
      <c r="H132" s="234">
        <v>0.19</v>
      </c>
      <c r="I132" s="235">
        <v>0.2</v>
      </c>
      <c r="J132" s="235">
        <v>0.2</v>
      </c>
      <c r="K132" s="235">
        <v>0.2</v>
      </c>
      <c r="L132" s="235">
        <v>0.2</v>
      </c>
      <c r="M132" s="236">
        <v>0.18</v>
      </c>
    </row>
    <row r="133" spans="2:13">
      <c r="B133" s="110"/>
      <c r="D133" s="74"/>
      <c r="E133" s="72"/>
      <c r="F133" s="72"/>
      <c r="H133" s="250"/>
      <c r="I133" s="250"/>
      <c r="J133" s="250"/>
      <c r="K133" s="250"/>
      <c r="L133" s="250"/>
      <c r="M133" s="250"/>
    </row>
    <row r="135" spans="2:13">
      <c r="B135" s="46"/>
      <c r="C135" s="46"/>
      <c r="D135" s="46"/>
      <c r="E135" s="46"/>
      <c r="F135" s="46"/>
      <c r="G135" s="46"/>
      <c r="H135" s="141"/>
      <c r="I135" s="46"/>
      <c r="J135" s="46"/>
      <c r="K135" s="46"/>
      <c r="L135" s="46"/>
      <c r="M135" s="46"/>
    </row>
    <row r="136" spans="2:13">
      <c r="B136" s="429" t="s">
        <v>351</v>
      </c>
      <c r="C136" s="47"/>
      <c r="D136" s="47"/>
      <c r="E136" s="47"/>
      <c r="F136" s="47"/>
      <c r="H136" s="47" t="s">
        <v>86</v>
      </c>
      <c r="I136" s="47"/>
      <c r="J136" s="47"/>
      <c r="K136" s="47"/>
      <c r="L136" s="47"/>
      <c r="M136" s="47"/>
    </row>
    <row r="137" spans="2:13">
      <c r="B137" s="11"/>
      <c r="H137" s="44" t="s">
        <v>15</v>
      </c>
      <c r="I137" s="44" t="s">
        <v>78</v>
      </c>
      <c r="J137" s="44" t="s">
        <v>79</v>
      </c>
      <c r="K137" s="44" t="s">
        <v>80</v>
      </c>
      <c r="L137" s="44" t="s">
        <v>81</v>
      </c>
      <c r="M137" s="44" t="s">
        <v>264</v>
      </c>
    </row>
    <row r="139" spans="2:13">
      <c r="B139" s="142" t="s">
        <v>163</v>
      </c>
      <c r="C139" s="78"/>
      <c r="D139" s="78"/>
      <c r="E139" s="78"/>
      <c r="F139" s="79"/>
      <c r="H139" s="257">
        <v>845.5</v>
      </c>
      <c r="I139" s="258">
        <v>965.8</v>
      </c>
      <c r="J139" s="258">
        <v>937.8</v>
      </c>
      <c r="K139" s="258">
        <v>883.4</v>
      </c>
      <c r="L139" s="258">
        <v>806.2</v>
      </c>
      <c r="M139" s="259">
        <v>290.2</v>
      </c>
    </row>
    <row r="141" spans="2:13">
      <c r="B141" s="118" t="s">
        <v>96</v>
      </c>
      <c r="C141" s="46"/>
      <c r="D141" s="46"/>
      <c r="E141" s="254">
        <v>7</v>
      </c>
      <c r="F141" s="154" t="s">
        <v>145</v>
      </c>
    </row>
    <row r="142" spans="2:13">
      <c r="B142" s="110" t="s">
        <v>97</v>
      </c>
      <c r="E142" s="255">
        <v>10</v>
      </c>
      <c r="F142" s="153" t="s">
        <v>145</v>
      </c>
    </row>
    <row r="143" spans="2:13">
      <c r="B143" s="119" t="s">
        <v>95</v>
      </c>
      <c r="C143" s="45"/>
      <c r="D143" s="45"/>
      <c r="E143" s="256">
        <v>1</v>
      </c>
      <c r="F143" s="155" t="s">
        <v>98</v>
      </c>
    </row>
    <row r="145" spans="2:13">
      <c r="B145" s="45"/>
      <c r="C145" s="45"/>
      <c r="D145" s="45"/>
      <c r="E145" s="45"/>
      <c r="F145" s="45"/>
      <c r="G145" s="45"/>
      <c r="H145" s="45"/>
      <c r="I145" s="45"/>
      <c r="J145" s="45"/>
      <c r="K145" s="45"/>
      <c r="L145" s="45"/>
      <c r="M145" s="45"/>
    </row>
    <row r="147" spans="2:13">
      <c r="B147" s="429" t="s">
        <v>352</v>
      </c>
      <c r="C147" s="47"/>
      <c r="D147" s="47"/>
      <c r="E147" s="47"/>
      <c r="F147" s="47"/>
    </row>
    <row r="148" spans="2:13">
      <c r="B148" s="3"/>
      <c r="E148" s="74"/>
    </row>
    <row r="149" spans="2:13">
      <c r="B149" s="118" t="s">
        <v>179</v>
      </c>
      <c r="C149" s="46"/>
      <c r="D149" s="46"/>
      <c r="E149" s="229">
        <v>0.184</v>
      </c>
      <c r="F149" s="154" t="s">
        <v>98</v>
      </c>
      <c r="H149" s="46" t="s">
        <v>180</v>
      </c>
      <c r="I149" s="46"/>
      <c r="J149" s="46"/>
      <c r="K149" s="260">
        <v>15</v>
      </c>
      <c r="L149" s="171"/>
      <c r="M149" s="77"/>
    </row>
    <row r="150" spans="2:13">
      <c r="B150" s="110" t="s">
        <v>175</v>
      </c>
      <c r="E150" s="263">
        <v>0.2</v>
      </c>
      <c r="F150" s="153" t="s">
        <v>98</v>
      </c>
      <c r="H150" t="s">
        <v>181</v>
      </c>
      <c r="K150" s="261">
        <v>6846.8</v>
      </c>
      <c r="L150" s="173"/>
      <c r="M150" s="72"/>
    </row>
    <row r="151" spans="2:13">
      <c r="B151" s="110" t="s">
        <v>176</v>
      </c>
      <c r="E151" s="264">
        <v>0.15</v>
      </c>
      <c r="F151" s="153" t="s">
        <v>98</v>
      </c>
      <c r="H151" s="174" t="s">
        <v>182</v>
      </c>
      <c r="I151" s="45"/>
      <c r="J151" s="45"/>
      <c r="K151" s="262">
        <v>4728.8999999999996</v>
      </c>
      <c r="L151" s="175"/>
      <c r="M151" s="76"/>
    </row>
    <row r="152" spans="2:13">
      <c r="B152" s="110" t="s">
        <v>177</v>
      </c>
      <c r="E152" s="264">
        <v>0.1</v>
      </c>
      <c r="F152" s="153" t="s">
        <v>98</v>
      </c>
    </row>
    <row r="153" spans="2:13">
      <c r="B153" s="119" t="s">
        <v>178</v>
      </c>
      <c r="C153" s="45"/>
      <c r="D153" s="45"/>
      <c r="E153" s="256">
        <v>0.1</v>
      </c>
      <c r="F153" s="155" t="s">
        <v>98</v>
      </c>
    </row>
    <row r="155" spans="2:13">
      <c r="B155" s="45"/>
      <c r="C155" s="45"/>
      <c r="D155" s="45"/>
      <c r="E155" s="45"/>
      <c r="F155" s="45"/>
      <c r="G155" s="45"/>
      <c r="H155" s="45"/>
      <c r="I155" s="45"/>
      <c r="J155" s="45"/>
      <c r="K155" s="45"/>
      <c r="L155" s="45"/>
      <c r="M155" s="45"/>
    </row>
    <row r="157" spans="2:13">
      <c r="B157" s="429" t="s">
        <v>353</v>
      </c>
      <c r="C157" s="47"/>
      <c r="D157" s="47"/>
      <c r="E157" s="47"/>
      <c r="F157" s="47"/>
      <c r="H157" s="47" t="s">
        <v>86</v>
      </c>
      <c r="I157" s="47"/>
      <c r="J157" s="47"/>
      <c r="K157" s="47"/>
      <c r="L157" s="47"/>
      <c r="M157" s="47"/>
    </row>
    <row r="158" spans="2:13">
      <c r="B158" s="3"/>
      <c r="H158" s="44" t="s">
        <v>15</v>
      </c>
      <c r="I158" s="44" t="s">
        <v>78</v>
      </c>
      <c r="J158" s="44" t="s">
        <v>79</v>
      </c>
      <c r="K158" s="44" t="s">
        <v>80</v>
      </c>
      <c r="L158" s="44" t="s">
        <v>81</v>
      </c>
      <c r="M158" s="44" t="s">
        <v>264</v>
      </c>
    </row>
    <row r="159" spans="2:13">
      <c r="B159" s="120"/>
      <c r="C159" s="45"/>
      <c r="D159" s="45"/>
      <c r="E159" s="45"/>
    </row>
    <row r="160" spans="2:13">
      <c r="B160" s="118" t="s">
        <v>232</v>
      </c>
      <c r="C160" s="46"/>
      <c r="D160" s="73"/>
      <c r="E160" s="77"/>
      <c r="F160" s="77" t="s">
        <v>197</v>
      </c>
      <c r="H160" s="240">
        <v>-80</v>
      </c>
      <c r="I160" s="241">
        <v>-80</v>
      </c>
      <c r="J160" s="241">
        <v>-80</v>
      </c>
      <c r="K160" s="241">
        <v>-80</v>
      </c>
      <c r="L160" s="241">
        <v>-80</v>
      </c>
      <c r="M160" s="242">
        <v>0</v>
      </c>
    </row>
    <row r="161" spans="2:13">
      <c r="B161" s="110" t="s">
        <v>233</v>
      </c>
      <c r="F161" s="72" t="s">
        <v>197</v>
      </c>
      <c r="H161" s="243">
        <v>100</v>
      </c>
      <c r="I161" s="244">
        <v>100</v>
      </c>
      <c r="J161" s="244">
        <v>100</v>
      </c>
      <c r="K161" s="244">
        <v>100</v>
      </c>
      <c r="L161" s="244">
        <v>100</v>
      </c>
      <c r="M161" s="245">
        <v>100</v>
      </c>
    </row>
    <row r="162" spans="2:13">
      <c r="B162" s="119" t="s">
        <v>234</v>
      </c>
      <c r="C162" s="45"/>
      <c r="D162" s="75"/>
      <c r="E162" s="76"/>
      <c r="F162" s="155" t="s">
        <v>235</v>
      </c>
      <c r="H162" s="234">
        <v>0.03</v>
      </c>
      <c r="I162" s="235">
        <v>0.03</v>
      </c>
      <c r="J162" s="235">
        <v>0.03</v>
      </c>
      <c r="K162" s="235">
        <v>0.03</v>
      </c>
      <c r="L162" s="235">
        <v>0.03</v>
      </c>
      <c r="M162" s="236">
        <v>0.03</v>
      </c>
    </row>
    <row r="163" spans="2:13">
      <c r="B163" s="110"/>
      <c r="D163" s="74"/>
      <c r="E163" s="72"/>
      <c r="F163" s="72"/>
      <c r="H163" s="176"/>
      <c r="I163" s="176"/>
      <c r="J163" s="176"/>
      <c r="K163" s="176"/>
      <c r="L163" s="176"/>
      <c r="M163" s="176"/>
    </row>
    <row r="164" spans="2:13">
      <c r="B164" s="118" t="s">
        <v>528</v>
      </c>
      <c r="C164" s="46"/>
      <c r="D164" s="73"/>
      <c r="E164" s="254">
        <v>2</v>
      </c>
      <c r="F164" s="77" t="s">
        <v>237</v>
      </c>
      <c r="H164" s="176"/>
      <c r="I164" s="176"/>
      <c r="J164" s="176"/>
      <c r="K164" s="176"/>
      <c r="L164" s="176"/>
      <c r="M164" s="176"/>
    </row>
    <row r="165" spans="2:13">
      <c r="B165" s="110" t="s">
        <v>239</v>
      </c>
      <c r="E165" s="255">
        <v>3</v>
      </c>
      <c r="F165" s="72" t="s">
        <v>237</v>
      </c>
      <c r="H165" s="195"/>
      <c r="I165" s="195"/>
      <c r="J165" s="195"/>
      <c r="K165" s="195"/>
      <c r="L165" s="195"/>
      <c r="M165" s="195"/>
    </row>
    <row r="166" spans="2:13">
      <c r="B166" s="119" t="s">
        <v>529</v>
      </c>
      <c r="C166" s="45"/>
      <c r="D166" s="45"/>
      <c r="E166" s="265">
        <v>1</v>
      </c>
      <c r="F166" s="76" t="s">
        <v>237</v>
      </c>
    </row>
    <row r="167" spans="2:13">
      <c r="E167" s="255"/>
    </row>
    <row r="168" spans="2:13">
      <c r="B168" s="118" t="s">
        <v>192</v>
      </c>
      <c r="C168" s="46"/>
      <c r="D168" s="46"/>
      <c r="E168" s="556">
        <v>0.01</v>
      </c>
      <c r="F168" s="154" t="s">
        <v>98</v>
      </c>
    </row>
    <row r="169" spans="2:13">
      <c r="B169" s="110" t="s">
        <v>228</v>
      </c>
      <c r="E169" s="557">
        <v>5.0000000000000001E-3</v>
      </c>
      <c r="F169" s="153" t="s">
        <v>98</v>
      </c>
    </row>
    <row r="170" spans="2:13">
      <c r="B170" s="110" t="s">
        <v>229</v>
      </c>
      <c r="E170" s="557">
        <v>0.01</v>
      </c>
      <c r="F170" s="153" t="s">
        <v>98</v>
      </c>
    </row>
    <row r="171" spans="2:13">
      <c r="B171" s="110" t="s">
        <v>193</v>
      </c>
      <c r="E171" s="558">
        <v>3.4000000000000002E-2</v>
      </c>
      <c r="F171" s="153" t="s">
        <v>98</v>
      </c>
    </row>
    <row r="172" spans="2:13">
      <c r="B172" s="119" t="s">
        <v>194</v>
      </c>
      <c r="C172" s="45"/>
      <c r="D172" s="45"/>
      <c r="E172" s="559">
        <v>0.04</v>
      </c>
      <c r="F172" s="155" t="s">
        <v>98</v>
      </c>
    </row>
    <row r="173" spans="2:13">
      <c r="E173" s="158"/>
    </row>
    <row r="174" spans="2:13">
      <c r="B174" s="45"/>
      <c r="C174" s="45"/>
      <c r="D174" s="45"/>
      <c r="E174" s="45"/>
      <c r="F174" s="45"/>
      <c r="G174" s="45"/>
      <c r="H174" s="45"/>
      <c r="I174" s="45"/>
      <c r="J174" s="45"/>
      <c r="K174" s="45"/>
      <c r="L174" s="45"/>
      <c r="M174" s="45"/>
    </row>
    <row r="176" spans="2:13">
      <c r="B176" s="429" t="s">
        <v>354</v>
      </c>
      <c r="C176" s="47"/>
      <c r="D176" s="47"/>
      <c r="E176" s="47"/>
      <c r="F176" s="47"/>
      <c r="H176" s="47" t="s">
        <v>86</v>
      </c>
      <c r="I176" s="47"/>
      <c r="J176" s="47"/>
      <c r="K176" s="47"/>
      <c r="L176" s="47"/>
      <c r="M176" s="47"/>
    </row>
    <row r="177" spans="2:13">
      <c r="B177" s="3"/>
      <c r="H177" s="44" t="s">
        <v>15</v>
      </c>
      <c r="I177" s="44" t="s">
        <v>78</v>
      </c>
      <c r="J177" s="44" t="s">
        <v>79</v>
      </c>
      <c r="K177" s="44" t="s">
        <v>80</v>
      </c>
      <c r="L177" s="44" t="s">
        <v>81</v>
      </c>
      <c r="M177" s="44" t="s">
        <v>264</v>
      </c>
    </row>
    <row r="178" spans="2:13">
      <c r="B178" s="120"/>
      <c r="C178" s="45"/>
      <c r="D178" s="45"/>
      <c r="E178" s="45"/>
      <c r="F178" s="45"/>
    </row>
    <row r="179" spans="2:13">
      <c r="B179" s="118" t="s">
        <v>36</v>
      </c>
      <c r="C179" s="46"/>
      <c r="D179" s="73"/>
      <c r="E179" s="77"/>
      <c r="F179" s="77" t="s">
        <v>197</v>
      </c>
      <c r="H179" s="240">
        <v>-800</v>
      </c>
      <c r="I179" s="241">
        <v>-800</v>
      </c>
      <c r="J179" s="241">
        <v>-800</v>
      </c>
      <c r="K179" s="241">
        <v>-800</v>
      </c>
      <c r="L179" s="241">
        <v>-800</v>
      </c>
      <c r="M179" s="242">
        <v>0</v>
      </c>
    </row>
    <row r="180" spans="2:13">
      <c r="B180" s="119" t="s">
        <v>210</v>
      </c>
      <c r="C180" s="45"/>
      <c r="D180" s="45"/>
      <c r="E180" s="45"/>
      <c r="F180" s="155" t="s">
        <v>98</v>
      </c>
      <c r="H180" s="234">
        <v>0.28000000000000003</v>
      </c>
      <c r="I180" s="235">
        <v>0.28000000000000003</v>
      </c>
      <c r="J180" s="235">
        <v>0.28999999999999998</v>
      </c>
      <c r="K180" s="235">
        <v>0.28999999999999998</v>
      </c>
      <c r="L180" s="235">
        <v>0.3</v>
      </c>
      <c r="M180" s="236">
        <v>0.3</v>
      </c>
    </row>
    <row r="182" spans="2:13">
      <c r="B182" s="45"/>
      <c r="C182" s="45"/>
      <c r="D182" s="45"/>
      <c r="E182" s="45"/>
      <c r="F182" s="45"/>
      <c r="G182" s="45"/>
      <c r="H182" s="45"/>
      <c r="I182" s="45"/>
      <c r="J182" s="45"/>
      <c r="K182" s="45"/>
      <c r="L182" s="45"/>
      <c r="M182" s="45"/>
    </row>
    <row r="184" spans="2:13">
      <c r="B184" s="429" t="s">
        <v>355</v>
      </c>
      <c r="C184" s="47"/>
      <c r="D184" s="47"/>
      <c r="E184" s="47"/>
      <c r="F184" s="47"/>
      <c r="H184" s="47" t="s">
        <v>86</v>
      </c>
      <c r="I184" s="47"/>
      <c r="J184" s="47"/>
      <c r="K184" s="47"/>
      <c r="L184" s="47"/>
      <c r="M184" s="47"/>
    </row>
    <row r="185" spans="2:13">
      <c r="B185" s="3"/>
      <c r="H185" s="44" t="s">
        <v>15</v>
      </c>
      <c r="I185" s="44" t="s">
        <v>78</v>
      </c>
      <c r="J185" s="44" t="s">
        <v>79</v>
      </c>
      <c r="K185" s="44" t="s">
        <v>80</v>
      </c>
      <c r="L185" s="44" t="s">
        <v>81</v>
      </c>
      <c r="M185" s="44" t="s">
        <v>264</v>
      </c>
    </row>
    <row r="186" spans="2:13">
      <c r="B186" s="3"/>
    </row>
    <row r="187" spans="2:13">
      <c r="B187" s="118" t="s">
        <v>512</v>
      </c>
      <c r="C187" s="46"/>
      <c r="D187" s="46"/>
      <c r="E187" s="46"/>
      <c r="F187" s="46"/>
      <c r="H187" s="240">
        <v>200</v>
      </c>
      <c r="I187" s="241">
        <v>200</v>
      </c>
      <c r="J187" s="241">
        <v>210</v>
      </c>
      <c r="K187" s="241">
        <v>210</v>
      </c>
      <c r="L187" s="241">
        <v>220</v>
      </c>
      <c r="M187" s="242">
        <v>220</v>
      </c>
    </row>
    <row r="188" spans="2:13">
      <c r="B188" s="110" t="s">
        <v>44</v>
      </c>
      <c r="C188" s="45"/>
      <c r="D188" s="45"/>
      <c r="E188" s="247"/>
      <c r="F188" s="76"/>
      <c r="H188" s="246">
        <v>0</v>
      </c>
      <c r="I188" s="247">
        <v>0</v>
      </c>
      <c r="J188" s="247">
        <v>0</v>
      </c>
      <c r="K188" s="247">
        <v>0</v>
      </c>
      <c r="L188" s="247">
        <v>0</v>
      </c>
      <c r="M188" s="248">
        <v>0</v>
      </c>
    </row>
    <row r="189" spans="2:13">
      <c r="B189" s="78"/>
      <c r="F189" s="77"/>
      <c r="H189" s="176"/>
      <c r="I189" s="176"/>
      <c r="J189" s="176"/>
      <c r="K189" s="176"/>
      <c r="L189" s="176"/>
      <c r="M189" s="176"/>
    </row>
    <row r="190" spans="2:13" ht="16" customHeight="1">
      <c r="B190" s="46" t="s">
        <v>299</v>
      </c>
      <c r="C190" s="46"/>
      <c r="D190" s="46"/>
      <c r="E190" s="555">
        <v>0.03</v>
      </c>
      <c r="F190" s="154" t="s">
        <v>98</v>
      </c>
      <c r="H190" s="518" t="s">
        <v>505</v>
      </c>
      <c r="I190" s="46"/>
      <c r="J190" s="46"/>
      <c r="K190" s="330">
        <v>1.17</v>
      </c>
      <c r="L190" s="321"/>
      <c r="M190" s="154" t="s">
        <v>509</v>
      </c>
    </row>
    <row r="191" spans="2:13" ht="16" customHeight="1">
      <c r="B191" s="1" t="s">
        <v>326</v>
      </c>
      <c r="E191" s="289">
        <v>11</v>
      </c>
      <c r="F191" s="153" t="s">
        <v>327</v>
      </c>
      <c r="H191" s="114" t="s">
        <v>504</v>
      </c>
      <c r="I191" s="176"/>
      <c r="J191" s="176"/>
      <c r="K191" s="329">
        <v>881.91452991452991</v>
      </c>
      <c r="L191" s="323"/>
      <c r="M191" s="322" t="s">
        <v>510</v>
      </c>
    </row>
    <row r="192" spans="2:13">
      <c r="B192" s="1" t="s">
        <v>322</v>
      </c>
      <c r="E192" s="244">
        <v>393283720</v>
      </c>
      <c r="F192" s="72" t="s">
        <v>325</v>
      </c>
      <c r="H192" s="114" t="s">
        <v>508</v>
      </c>
      <c r="I192" s="176"/>
      <c r="J192" s="176"/>
      <c r="K192" s="329">
        <v>28.23</v>
      </c>
      <c r="L192" s="176"/>
      <c r="M192" s="322" t="s">
        <v>510</v>
      </c>
    </row>
    <row r="193" spans="1:17" ht="16" customHeight="1">
      <c r="B193" s="114" t="s">
        <v>514</v>
      </c>
      <c r="E193" s="244">
        <v>513.23931623931628</v>
      </c>
      <c r="F193" s="520" t="s">
        <v>511</v>
      </c>
      <c r="H193" s="114" t="s">
        <v>506</v>
      </c>
      <c r="I193" s="176"/>
      <c r="J193" s="176"/>
      <c r="K193" s="329">
        <v>494.45299145299145</v>
      </c>
      <c r="L193" s="509" t="s">
        <v>486</v>
      </c>
      <c r="M193" s="322" t="s">
        <v>510</v>
      </c>
    </row>
    <row r="194" spans="1:17" ht="16" customHeight="1">
      <c r="B194" s="114" t="s">
        <v>513</v>
      </c>
      <c r="C194" s="45"/>
      <c r="D194" s="45"/>
      <c r="E194" s="247">
        <v>945.44444444444457</v>
      </c>
      <c r="F194" s="521" t="s">
        <v>511</v>
      </c>
      <c r="H194" s="519" t="s">
        <v>507</v>
      </c>
      <c r="I194" s="177"/>
      <c r="J194" s="177"/>
      <c r="K194" s="327">
        <v>889.08547008547021</v>
      </c>
      <c r="L194" s="177"/>
      <c r="M194" s="281" t="s">
        <v>510</v>
      </c>
    </row>
    <row r="195" spans="1:17">
      <c r="E195" s="244"/>
      <c r="F195" s="72"/>
      <c r="H195" s="198"/>
      <c r="I195" s="176"/>
      <c r="J195" s="176"/>
      <c r="K195" s="329"/>
      <c r="L195" s="176"/>
      <c r="M195" s="400"/>
    </row>
    <row r="196" spans="1:17">
      <c r="E196" s="244"/>
      <c r="F196" s="72"/>
      <c r="H196" s="198"/>
      <c r="I196" s="176"/>
      <c r="J196" s="176"/>
      <c r="K196" s="329"/>
      <c r="L196" s="176"/>
      <c r="M196" s="337" t="s">
        <v>459</v>
      </c>
    </row>
    <row r="197" spans="1:17">
      <c r="E197" s="244"/>
      <c r="F197" s="72"/>
      <c r="H197" s="198"/>
      <c r="I197" s="176"/>
      <c r="J197" s="176"/>
      <c r="K197" s="329"/>
      <c r="L197" s="176"/>
      <c r="M197" s="375" t="s">
        <v>458</v>
      </c>
    </row>
    <row r="198" spans="1:17">
      <c r="E198" s="244"/>
      <c r="F198" s="72"/>
      <c r="H198" s="198"/>
      <c r="I198" s="176"/>
      <c r="J198" s="176"/>
      <c r="K198" s="329"/>
      <c r="L198" s="176"/>
      <c r="M198" s="522" t="s">
        <v>515</v>
      </c>
    </row>
    <row r="199" spans="1:17">
      <c r="F199" s="72"/>
      <c r="H199" s="176"/>
      <c r="I199" s="176"/>
      <c r="J199" s="176"/>
      <c r="K199" s="176"/>
      <c r="L199" s="176"/>
      <c r="M199" s="176"/>
    </row>
    <row r="200" spans="1:17" ht="24">
      <c r="A200" s="1" t="s">
        <v>160</v>
      </c>
      <c r="B200" s="543" t="s">
        <v>265</v>
      </c>
      <c r="C200" s="137"/>
      <c r="D200" s="137"/>
      <c r="E200" s="137"/>
      <c r="F200" s="137"/>
      <c r="G200" s="137"/>
      <c r="H200" s="137"/>
      <c r="I200" s="137"/>
      <c r="J200" s="137"/>
      <c r="K200" s="137"/>
      <c r="L200" s="137"/>
      <c r="M200" s="137"/>
    </row>
    <row r="201" spans="1:17">
      <c r="B201" s="45"/>
      <c r="C201" s="45"/>
      <c r="D201" s="45"/>
      <c r="E201" s="45"/>
      <c r="F201" s="45"/>
      <c r="G201" s="45"/>
      <c r="H201" s="519"/>
      <c r="I201" s="45"/>
      <c r="J201" s="45"/>
      <c r="K201" s="45"/>
      <c r="L201" s="45"/>
      <c r="M201" s="45"/>
    </row>
    <row r="202" spans="1:17">
      <c r="B202" s="116" t="s">
        <v>132</v>
      </c>
      <c r="F202" s="72"/>
      <c r="H202" s="176"/>
      <c r="I202" s="176"/>
      <c r="J202" s="176"/>
      <c r="K202" s="176"/>
      <c r="L202" s="176"/>
      <c r="M202" s="176"/>
    </row>
    <row r="203" spans="1:17">
      <c r="F203" s="72"/>
      <c r="H203" s="176"/>
      <c r="I203" s="176"/>
      <c r="J203" s="176"/>
      <c r="K203" s="176"/>
      <c r="L203" s="176"/>
      <c r="M203" s="176"/>
    </row>
    <row r="204" spans="1:17">
      <c r="G204" s="46"/>
      <c r="H204" s="46"/>
      <c r="I204" s="517" t="s">
        <v>269</v>
      </c>
      <c r="J204" s="517" t="s">
        <v>492</v>
      </c>
      <c r="K204" s="517" t="s">
        <v>492</v>
      </c>
      <c r="L204" s="517" t="s">
        <v>494</v>
      </c>
      <c r="M204" s="517" t="s">
        <v>495</v>
      </c>
    </row>
    <row r="205" spans="1:17" ht="16" customHeight="1">
      <c r="B205" s="120" t="s">
        <v>266</v>
      </c>
      <c r="C205" s="45"/>
      <c r="D205" s="120" t="s">
        <v>267</v>
      </c>
      <c r="E205" s="45"/>
      <c r="F205" s="45"/>
      <c r="G205" s="208" t="s">
        <v>268</v>
      </c>
      <c r="H205" s="208" t="s">
        <v>35</v>
      </c>
      <c r="I205" s="209" t="s">
        <v>496</v>
      </c>
      <c r="J205" s="209" t="s">
        <v>35</v>
      </c>
      <c r="K205" s="209" t="s">
        <v>493</v>
      </c>
      <c r="L205" s="209" t="s">
        <v>497</v>
      </c>
      <c r="M205" s="209" t="s">
        <v>500</v>
      </c>
    </row>
    <row r="207" spans="1:17">
      <c r="B207" s="266" t="s">
        <v>271</v>
      </c>
      <c r="C207" s="266"/>
      <c r="D207" s="266" t="s">
        <v>275</v>
      </c>
      <c r="E207" s="255"/>
      <c r="F207" s="255"/>
      <c r="G207" s="244">
        <v>5655.3966</v>
      </c>
      <c r="H207" s="244">
        <v>135067.32200000001</v>
      </c>
      <c r="I207" s="232">
        <v>0.14701520754066438</v>
      </c>
      <c r="J207" s="89">
        <f>G207/H207</f>
        <v>4.1870946401084339E-2</v>
      </c>
      <c r="K207" s="89">
        <f>G207/(SUM(G207:H207))</f>
        <v>4.0188227290259296E-2</v>
      </c>
      <c r="L207" s="268">
        <v>1.76</v>
      </c>
      <c r="M207" s="215">
        <f>L207/(1+(1-I207)*J207)</f>
        <v>1.6993087126281998</v>
      </c>
      <c r="P207" s="211"/>
      <c r="Q207" s="211"/>
    </row>
    <row r="208" spans="1:17">
      <c r="B208" s="266" t="s">
        <v>272</v>
      </c>
      <c r="C208" s="266"/>
      <c r="D208" s="266" t="s">
        <v>275</v>
      </c>
      <c r="E208" s="255"/>
      <c r="F208" s="255"/>
      <c r="G208" s="244">
        <v>3839.1847305000001</v>
      </c>
      <c r="H208" s="244">
        <v>139128.08000000002</v>
      </c>
      <c r="I208" s="232">
        <v>0.11075663877228994</v>
      </c>
      <c r="J208" s="89">
        <f t="shared" ref="J208:J210" si="13">G208/H208</f>
        <v>2.7594607289197118E-2</v>
      </c>
      <c r="K208" s="89">
        <f t="shared" ref="K208:K210" si="14">G208/(SUM(G208:H208))</f>
        <v>2.6853592937775249E-2</v>
      </c>
      <c r="L208" s="268">
        <v>1.77</v>
      </c>
      <c r="M208" s="215">
        <f t="shared" ref="M208:M210" si="15">L208/(1+(1-I208)*J208)</f>
        <v>1.727607414126926</v>
      </c>
      <c r="P208" s="211"/>
    </row>
    <row r="209" spans="2:16">
      <c r="B209" s="266" t="s">
        <v>273</v>
      </c>
      <c r="C209" s="266"/>
      <c r="D209" s="266" t="s">
        <v>275</v>
      </c>
      <c r="E209" s="255"/>
      <c r="F209" s="255"/>
      <c r="G209" s="244">
        <v>5212.1782201999995</v>
      </c>
      <c r="H209" s="244">
        <v>119578.186</v>
      </c>
      <c r="I209" s="232">
        <v>0.10782800284141429</v>
      </c>
      <c r="J209" s="89">
        <f t="shared" si="13"/>
        <v>4.358803553183186E-2</v>
      </c>
      <c r="K209" s="89">
        <f t="shared" si="14"/>
        <v>4.176747341647951E-2</v>
      </c>
      <c r="L209" s="268">
        <v>1.47</v>
      </c>
      <c r="M209" s="215">
        <f t="shared" si="15"/>
        <v>1.414974439046583</v>
      </c>
      <c r="P209" s="211"/>
    </row>
    <row r="210" spans="2:16">
      <c r="B210" s="267" t="s">
        <v>274</v>
      </c>
      <c r="C210" s="267"/>
      <c r="D210" s="267" t="s">
        <v>276</v>
      </c>
      <c r="E210" s="265"/>
      <c r="F210" s="265"/>
      <c r="G210" s="247">
        <v>0</v>
      </c>
      <c r="H210" s="247">
        <v>74721.19</v>
      </c>
      <c r="I210" s="235">
        <v>0.24056538718748191</v>
      </c>
      <c r="J210" s="214">
        <f t="shared" si="13"/>
        <v>0</v>
      </c>
      <c r="K210" s="214">
        <f t="shared" si="14"/>
        <v>0</v>
      </c>
      <c r="L210" s="269">
        <v>1.26</v>
      </c>
      <c r="M210" s="216">
        <f t="shared" si="15"/>
        <v>1.26</v>
      </c>
    </row>
    <row r="211" spans="2:16">
      <c r="G211" s="45"/>
      <c r="H211" s="45"/>
      <c r="I211" s="45"/>
      <c r="J211" s="45"/>
      <c r="K211" s="45"/>
      <c r="L211" s="45"/>
      <c r="M211" s="45"/>
      <c r="P211" s="211"/>
    </row>
    <row r="212" spans="2:16">
      <c r="B212" s="512" t="s">
        <v>269</v>
      </c>
      <c r="C212" s="46"/>
      <c r="D212" s="46"/>
      <c r="E212" s="46"/>
      <c r="F212" s="512"/>
      <c r="G212" s="53">
        <f>AVERAGE(G207:G210)</f>
        <v>3676.6898876750001</v>
      </c>
      <c r="H212" s="53">
        <f t="shared" ref="H212:M212" si="16">AVERAGE(H207:H210)</f>
        <v>117123.6945</v>
      </c>
      <c r="I212" s="84">
        <f t="shared" si="16"/>
        <v>0.15154130908546265</v>
      </c>
      <c r="J212" s="84">
        <f t="shared" si="16"/>
        <v>2.8263397305528327E-2</v>
      </c>
      <c r="K212" s="84">
        <f t="shared" si="16"/>
        <v>2.7202323411128514E-2</v>
      </c>
      <c r="L212" s="212">
        <f t="shared" si="16"/>
        <v>1.5649999999999999</v>
      </c>
      <c r="M212" s="212">
        <f t="shared" si="16"/>
        <v>1.5254726414504272</v>
      </c>
    </row>
    <row r="213" spans="2:16">
      <c r="B213" s="120" t="s">
        <v>270</v>
      </c>
      <c r="C213" s="45"/>
      <c r="D213" s="45"/>
      <c r="E213" s="45"/>
      <c r="F213" s="120"/>
      <c r="G213" s="62">
        <f>MEDIAN(G207:G210)</f>
        <v>4525.6814753500003</v>
      </c>
      <c r="H213" s="62">
        <f t="shared" ref="H213:M213" si="17">MEDIAN(H207:H210)</f>
        <v>127322.75400000002</v>
      </c>
      <c r="I213" s="50">
        <f t="shared" si="17"/>
        <v>0.12888592315647718</v>
      </c>
      <c r="J213" s="50">
        <f t="shared" si="17"/>
        <v>3.4732776845140728E-2</v>
      </c>
      <c r="K213" s="50">
        <f t="shared" si="17"/>
        <v>3.3520910114017269E-2</v>
      </c>
      <c r="L213" s="213">
        <f t="shared" si="17"/>
        <v>1.615</v>
      </c>
      <c r="M213" s="213">
        <f t="shared" si="17"/>
        <v>1.5571415758373914</v>
      </c>
    </row>
    <row r="216" spans="2:16">
      <c r="B216" s="429" t="s">
        <v>356</v>
      </c>
      <c r="C216" s="47"/>
      <c r="D216" s="47"/>
      <c r="E216" s="47"/>
      <c r="F216" s="47"/>
      <c r="I216" s="429" t="s">
        <v>357</v>
      </c>
      <c r="J216" s="47"/>
      <c r="K216" s="47"/>
      <c r="L216" s="47"/>
      <c r="M216" s="47"/>
    </row>
    <row r="217" spans="2:16">
      <c r="F217" s="210"/>
      <c r="G217" s="210"/>
      <c r="I217" s="210"/>
      <c r="J217" s="210"/>
      <c r="L217" s="210"/>
      <c r="M217" s="210"/>
    </row>
    <row r="218" spans="2:16" ht="19">
      <c r="B218" s="1" t="s">
        <v>503</v>
      </c>
      <c r="D218" s="211"/>
      <c r="F218" s="270">
        <v>4.3299999999999998E-2</v>
      </c>
      <c r="G218" s="210"/>
      <c r="I218" s="110" t="s">
        <v>278</v>
      </c>
      <c r="J218" s="210"/>
      <c r="L218" s="210"/>
      <c r="M218" s="270">
        <v>2.7369999999999998E-2</v>
      </c>
    </row>
    <row r="219" spans="2:16">
      <c r="B219" s="110" t="s">
        <v>283</v>
      </c>
      <c r="F219" s="212">
        <f>M212</f>
        <v>1.5254726414504272</v>
      </c>
      <c r="G219" s="210"/>
      <c r="I219" s="110" t="s">
        <v>279</v>
      </c>
      <c r="J219" s="210"/>
      <c r="L219" s="210"/>
      <c r="M219" s="217">
        <f>F221</f>
        <v>6.7033701028211115E-2</v>
      </c>
    </row>
    <row r="220" spans="2:16" ht="16" customHeight="1">
      <c r="B220" s="1" t="s">
        <v>502</v>
      </c>
      <c r="F220" s="212">
        <f>F219*(1+(1-M226)*F231)</f>
        <v>1.5481224255937902</v>
      </c>
      <c r="G220" s="210"/>
      <c r="I220" s="1" t="s">
        <v>499</v>
      </c>
      <c r="J220" s="210"/>
      <c r="M220" s="271">
        <v>0</v>
      </c>
    </row>
    <row r="221" spans="2:16">
      <c r="B221" s="3" t="s">
        <v>501</v>
      </c>
      <c r="F221" s="221">
        <f>F220*F218</f>
        <v>6.7033701028211115E-2</v>
      </c>
      <c r="G221" s="210"/>
      <c r="I221" s="111" t="s">
        <v>277</v>
      </c>
      <c r="J221" s="210"/>
      <c r="M221" s="222">
        <f>SUM(M218:M220)</f>
        <v>9.4403701028211107E-2</v>
      </c>
    </row>
    <row r="222" spans="2:16">
      <c r="F222" s="210"/>
      <c r="G222" s="210"/>
      <c r="I222" s="210"/>
      <c r="J222" s="210"/>
    </row>
    <row r="224" spans="2:16">
      <c r="B224" s="429" t="s">
        <v>358</v>
      </c>
      <c r="C224" s="47"/>
      <c r="D224" s="47"/>
      <c r="E224" s="47"/>
      <c r="F224" s="47"/>
      <c r="I224" s="429" t="s">
        <v>359</v>
      </c>
      <c r="J224" s="47"/>
      <c r="K224" s="47"/>
      <c r="L224" s="47"/>
      <c r="M224" s="47"/>
    </row>
    <row r="225" spans="2:13">
      <c r="M225" s="219"/>
    </row>
    <row r="226" spans="2:13">
      <c r="E226" s="218" t="s">
        <v>284</v>
      </c>
      <c r="F226" s="218" t="s">
        <v>285</v>
      </c>
      <c r="I226" s="1" t="s">
        <v>282</v>
      </c>
      <c r="M226" s="270">
        <v>2.5000000000000001E-2</v>
      </c>
    </row>
    <row r="227" spans="2:13">
      <c r="B227" s="1" t="s">
        <v>286</v>
      </c>
      <c r="D227" s="261">
        <v>4687.6000000000004</v>
      </c>
      <c r="E227" s="217">
        <f>D227/D229</f>
        <v>1.4542065769994877E-2</v>
      </c>
      <c r="F227" s="270">
        <v>1.4999999999999999E-2</v>
      </c>
      <c r="I227" s="1" t="s">
        <v>280</v>
      </c>
      <c r="M227" s="270">
        <f>E149</f>
        <v>0.184</v>
      </c>
    </row>
    <row r="228" spans="2:13">
      <c r="B228" s="1" t="s">
        <v>287</v>
      </c>
      <c r="D228" s="261">
        <v>317660</v>
      </c>
      <c r="E228" s="217">
        <f>D228/D229</f>
        <v>0.98545793423000516</v>
      </c>
      <c r="F228" s="217">
        <f>1-F227</f>
        <v>0.98499999999999999</v>
      </c>
      <c r="I228" s="3" t="s">
        <v>281</v>
      </c>
      <c r="M228" s="220">
        <f>M226*(1-M227)</f>
        <v>2.0400000000000001E-2</v>
      </c>
    </row>
    <row r="229" spans="2:13">
      <c r="B229" s="1" t="s">
        <v>288</v>
      </c>
      <c r="D229" s="69">
        <f>SUM(D227:D228)</f>
        <v>322347.59999999998</v>
      </c>
      <c r="E229" s="172">
        <f t="shared" ref="E229:F229" si="18">SUM(E227:E228)</f>
        <v>1</v>
      </c>
      <c r="F229" s="172">
        <f t="shared" si="18"/>
        <v>1</v>
      </c>
    </row>
    <row r="231" spans="2:13">
      <c r="B231" s="108" t="s">
        <v>289</v>
      </c>
      <c r="C231" s="108"/>
      <c r="D231" s="108"/>
      <c r="E231" s="223">
        <f>E227/E228</f>
        <v>1.4756658062078954E-2</v>
      </c>
      <c r="F231" s="223">
        <f>F227/F228</f>
        <v>1.5228426395939085E-2</v>
      </c>
    </row>
    <row r="232" spans="2:13">
      <c r="I232" s="429" t="s">
        <v>265</v>
      </c>
      <c r="J232" s="47"/>
      <c r="K232" s="47"/>
      <c r="L232" s="47"/>
      <c r="M232" s="47"/>
    </row>
    <row r="234" spans="2:13">
      <c r="B234" s="513" t="s">
        <v>488</v>
      </c>
      <c r="L234" s="218" t="s">
        <v>291</v>
      </c>
      <c r="M234" s="218" t="s">
        <v>292</v>
      </c>
    </row>
    <row r="235" spans="2:13">
      <c r="B235" s="514" t="s">
        <v>489</v>
      </c>
      <c r="I235" s="1" t="s">
        <v>293</v>
      </c>
      <c r="L235" s="224">
        <f>F227</f>
        <v>1.4999999999999999E-2</v>
      </c>
      <c r="M235" s="225">
        <f>M228</f>
        <v>2.0400000000000001E-2</v>
      </c>
    </row>
    <row r="236" spans="2:13">
      <c r="B236" s="515" t="s">
        <v>498</v>
      </c>
      <c r="I236" s="1" t="s">
        <v>294</v>
      </c>
      <c r="L236" s="224">
        <f>F228</f>
        <v>0.98499999999999999</v>
      </c>
      <c r="M236" s="224">
        <f>M221</f>
        <v>9.4403701028211107E-2</v>
      </c>
    </row>
    <row r="237" spans="2:13">
      <c r="B237" s="515" t="s">
        <v>490</v>
      </c>
      <c r="L237" s="10"/>
      <c r="M237" s="10"/>
    </row>
    <row r="238" spans="2:13">
      <c r="B238" s="516" t="s">
        <v>491</v>
      </c>
      <c r="I238" s="108" t="s">
        <v>290</v>
      </c>
      <c r="J238" s="108"/>
      <c r="K238" s="108"/>
      <c r="L238" s="108"/>
      <c r="M238" s="223">
        <f>SUMPRODUCT(L235:L236,M235:M236)</f>
        <v>9.3293645512787945E-2</v>
      </c>
    </row>
  </sheetData>
  <pageMargins left="0.7" right="0.7" top="0.75" bottom="0.75" header="0.3" footer="0.3"/>
  <pageSetup orientation="portrait" horizontalDpi="0" verticalDpi="0"/>
  <ignoredErrors>
    <ignoredError sqref="K207:K210" formulaRange="1"/>
  </ignoredErrors>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1</xdr:col>
                    <xdr:colOff>25400</xdr:colOff>
                    <xdr:row>5</xdr:row>
                    <xdr:rowOff>165100</xdr:rowOff>
                  </from>
                  <to>
                    <xdr:col>2</xdr:col>
                    <xdr:colOff>469900</xdr:colOff>
                    <xdr:row>6</xdr:row>
                    <xdr:rowOff>203200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791A4-DF53-594C-BF21-C1B9289BB8FB}">
  <sheetPr codeName="Sheet4"/>
  <dimension ref="A1:Z666"/>
  <sheetViews>
    <sheetView showGridLines="0" topLeftCell="A648" zoomScale="108" zoomScaleNormal="125" workbookViewId="0">
      <selection activeCell="K663" sqref="K663"/>
    </sheetView>
  </sheetViews>
  <sheetFormatPr baseColWidth="10" defaultRowHeight="16"/>
  <cols>
    <col min="1" max="1" width="5" style="1" customWidth="1"/>
    <col min="2" max="2" width="10.83203125" style="110" customWidth="1"/>
    <col min="3" max="5" width="10.83203125" style="1" customWidth="1"/>
    <col min="6" max="17" width="10.83203125" style="53" customWidth="1"/>
    <col min="18" max="19" width="10.83203125" style="1"/>
    <col min="20" max="20" width="17.5" style="1" bestFit="1" customWidth="1"/>
    <col min="21" max="16384" width="10.83203125" style="1"/>
  </cols>
  <sheetData>
    <row r="1" spans="1:26" ht="21">
      <c r="B1" s="109"/>
      <c r="C1" s="4"/>
      <c r="D1" s="4"/>
      <c r="E1" s="4"/>
      <c r="F1" s="4"/>
      <c r="G1" s="4"/>
      <c r="H1" s="4"/>
      <c r="I1" s="4"/>
      <c r="J1" s="4"/>
      <c r="K1" s="4"/>
      <c r="L1" s="4"/>
      <c r="M1" s="4"/>
      <c r="N1" s="4"/>
      <c r="O1" s="4"/>
      <c r="P1" s="4"/>
      <c r="Q1" s="4"/>
    </row>
    <row r="2" spans="1:26" ht="24">
      <c r="A2" s="1" t="s">
        <v>25</v>
      </c>
      <c r="B2" s="135" t="s">
        <v>250</v>
      </c>
      <c r="C2" s="136"/>
      <c r="D2" s="136"/>
      <c r="E2" s="137"/>
      <c r="F2" s="137"/>
      <c r="G2" s="137"/>
      <c r="H2" s="137"/>
      <c r="I2" s="137"/>
      <c r="J2" s="137"/>
      <c r="K2" s="137"/>
      <c r="L2" s="137"/>
      <c r="M2" s="137"/>
      <c r="N2" s="137"/>
      <c r="O2" s="137"/>
      <c r="P2" s="137"/>
      <c r="Q2" s="137"/>
    </row>
    <row r="3" spans="1:26" ht="15" customHeight="1">
      <c r="B3" s="126"/>
      <c r="C3" s="127"/>
      <c r="D3" s="127"/>
      <c r="E3" s="127"/>
      <c r="F3" s="127"/>
      <c r="G3" s="127"/>
      <c r="H3" s="127"/>
      <c r="I3" s="127"/>
      <c r="J3" s="127"/>
      <c r="K3" s="127"/>
      <c r="L3" s="127"/>
      <c r="M3" s="127"/>
      <c r="N3" s="127"/>
      <c r="O3" s="127"/>
      <c r="P3" s="127"/>
      <c r="Q3" s="127"/>
    </row>
    <row r="4" spans="1:26">
      <c r="B4" s="116" t="s">
        <v>132</v>
      </c>
      <c r="F4" s="1"/>
      <c r="G4" s="1"/>
      <c r="H4" s="2"/>
      <c r="I4" s="1"/>
      <c r="J4" s="1"/>
      <c r="K4" s="1"/>
      <c r="L4" s="1"/>
      <c r="M4" s="1"/>
      <c r="N4" s="1"/>
      <c r="O4" s="1"/>
      <c r="P4" s="1"/>
      <c r="Q4" s="1"/>
    </row>
    <row r="5" spans="1:26">
      <c r="B5" s="115" t="str">
        <f>CONCATENATE("Running ", CHOOSE(Assumptions!$B$7,Assumptions!$B$13,Assumptions!$B$14,Assumptions!$B$15)," Model")</f>
        <v>Running Base Case Model</v>
      </c>
      <c r="F5" s="1"/>
      <c r="G5" s="1"/>
      <c r="H5" s="1"/>
      <c r="I5" s="1"/>
      <c r="J5" s="1"/>
      <c r="K5" s="1"/>
      <c r="L5" s="47" t="s">
        <v>86</v>
      </c>
      <c r="M5" s="47"/>
      <c r="N5" s="47"/>
      <c r="O5" s="47"/>
      <c r="P5" s="47"/>
      <c r="Q5" s="47"/>
    </row>
    <row r="6" spans="1:26">
      <c r="F6" s="43" t="s">
        <v>38</v>
      </c>
      <c r="G6" s="43" t="s">
        <v>10</v>
      </c>
      <c r="H6" s="44" t="s">
        <v>11</v>
      </c>
      <c r="I6" s="44" t="s">
        <v>12</v>
      </c>
      <c r="J6" s="44" t="s">
        <v>13</v>
      </c>
      <c r="K6" s="44" t="s">
        <v>14</v>
      </c>
      <c r="L6" s="44" t="s">
        <v>15</v>
      </c>
      <c r="M6" s="44" t="s">
        <v>78</v>
      </c>
      <c r="N6" s="44" t="s">
        <v>79</v>
      </c>
      <c r="O6" s="44" t="s">
        <v>80</v>
      </c>
      <c r="P6" s="44" t="s">
        <v>81</v>
      </c>
      <c r="Q6" s="44" t="s">
        <v>295</v>
      </c>
    </row>
    <row r="7" spans="1:26">
      <c r="F7" s="5"/>
      <c r="G7" s="5"/>
      <c r="H7" s="6"/>
      <c r="I7" s="5"/>
      <c r="J7" s="5"/>
      <c r="K7" s="5"/>
      <c r="L7" s="5"/>
      <c r="M7" s="5"/>
      <c r="N7" s="5"/>
      <c r="O7" s="5"/>
      <c r="P7" s="1"/>
      <c r="Q7" s="1"/>
    </row>
    <row r="8" spans="1:26">
      <c r="B8" s="110" t="s">
        <v>0</v>
      </c>
      <c r="F8" s="51">
        <v>11820</v>
      </c>
      <c r="G8" s="51">
        <v>13978.5</v>
      </c>
      <c r="H8" s="52">
        <v>18611</v>
      </c>
      <c r="I8" s="51">
        <v>21173.4</v>
      </c>
      <c r="J8" s="51">
        <v>27558.5</v>
      </c>
      <c r="K8" s="51">
        <v>28262.9</v>
      </c>
      <c r="L8" s="100">
        <f>L153</f>
        <v>33369.865684491982</v>
      </c>
      <c r="M8" s="100">
        <f t="shared" ref="M8:Q8" si="0">M153</f>
        <v>38058.160173262033</v>
      </c>
      <c r="N8" s="100">
        <f t="shared" si="0"/>
        <v>41882.535679657223</v>
      </c>
      <c r="O8" s="100">
        <f t="shared" si="0"/>
        <v>46205.407440946183</v>
      </c>
      <c r="P8" s="100">
        <f t="shared" si="0"/>
        <v>51071.726850788938</v>
      </c>
      <c r="Q8" s="100">
        <f t="shared" si="0"/>
        <v>53049.841730122265</v>
      </c>
    </row>
    <row r="9" spans="1:26">
      <c r="B9" s="110" t="s">
        <v>16</v>
      </c>
      <c r="F9" s="54">
        <v>-6919.9</v>
      </c>
      <c r="G9" s="54">
        <v>-7609.9</v>
      </c>
      <c r="H9" s="55">
        <v>-9193.6</v>
      </c>
      <c r="I9" s="54">
        <v>-10660.7</v>
      </c>
      <c r="J9" s="54">
        <v>-13784.1</v>
      </c>
      <c r="K9" s="54">
        <v>-13979.1</v>
      </c>
      <c r="L9" s="103">
        <f>-L171</f>
        <v>-16316.268728556151</v>
      </c>
      <c r="M9" s="103">
        <f t="shared" ref="M9:Q9" si="1">-M171</f>
        <v>-17841.33486370054</v>
      </c>
      <c r="N9" s="103">
        <f t="shared" si="1"/>
        <v>-19215.180358245751</v>
      </c>
      <c r="O9" s="103">
        <f t="shared" si="1"/>
        <v>-20735.222506656319</v>
      </c>
      <c r="P9" s="103">
        <f t="shared" si="1"/>
        <v>-22406.170101743239</v>
      </c>
      <c r="Q9" s="103">
        <f t="shared" si="1"/>
        <v>-22968.964600523032</v>
      </c>
    </row>
    <row r="10" spans="1:26" s="3" customFormat="1">
      <c r="B10" s="111" t="s">
        <v>17</v>
      </c>
      <c r="F10" s="56">
        <v>4900.1000000000004</v>
      </c>
      <c r="G10" s="56">
        <v>6368.6</v>
      </c>
      <c r="H10" s="57">
        <v>9417.4</v>
      </c>
      <c r="I10" s="57">
        <v>10512.7</v>
      </c>
      <c r="J10" s="57">
        <v>13774.4</v>
      </c>
      <c r="K10" s="56">
        <v>14283.800000000001</v>
      </c>
      <c r="L10" s="102">
        <f>SUM(L8:L9)</f>
        <v>17053.596955935831</v>
      </c>
      <c r="M10" s="102">
        <f t="shared" ref="M10:Q10" si="2">SUM(M8:M9)</f>
        <v>20216.825309561493</v>
      </c>
      <c r="N10" s="102">
        <f t="shared" si="2"/>
        <v>22667.355321411473</v>
      </c>
      <c r="O10" s="102">
        <f t="shared" si="2"/>
        <v>25470.184934289864</v>
      </c>
      <c r="P10" s="102">
        <f t="shared" si="2"/>
        <v>28665.5567490457</v>
      </c>
      <c r="Q10" s="102">
        <f t="shared" si="2"/>
        <v>30080.877129599234</v>
      </c>
    </row>
    <row r="11" spans="1:26">
      <c r="F11" s="89"/>
      <c r="G11" s="89"/>
      <c r="H11" s="89"/>
      <c r="I11" s="89"/>
      <c r="J11" s="89"/>
      <c r="K11" s="89"/>
      <c r="L11" s="51"/>
      <c r="M11" s="51"/>
      <c r="N11" s="51"/>
      <c r="O11" s="51"/>
    </row>
    <row r="12" spans="1:26">
      <c r="B12" s="110" t="s">
        <v>18</v>
      </c>
      <c r="F12" s="59">
        <v>-1662.9</v>
      </c>
      <c r="G12" s="59">
        <v>-1579.9</v>
      </c>
      <c r="H12" s="51">
        <v>-1861.6</v>
      </c>
      <c r="I12" s="51">
        <v>-2282.1</v>
      </c>
      <c r="J12" s="51">
        <v>-3113.1</v>
      </c>
      <c r="K12" s="51">
        <v>-3181</v>
      </c>
      <c r="L12" s="100">
        <f>-L8*Assumptions!H77</f>
        <v>-3670.685225294118</v>
      </c>
      <c r="M12" s="100">
        <f>-M8*Assumptions!I77</f>
        <v>-4186.3976190588237</v>
      </c>
      <c r="N12" s="100">
        <f>-N8*Assumptions!J77</f>
        <v>-4523.3138534029804</v>
      </c>
      <c r="O12" s="100">
        <f>-O8*Assumptions!K77</f>
        <v>-4851.567781299349</v>
      </c>
      <c r="P12" s="100">
        <f>-P8*Assumptions!L77</f>
        <v>-5209.3161387804712</v>
      </c>
      <c r="Q12" s="100">
        <f>-Q8*Assumptions!M77</f>
        <v>-5304.9841730122271</v>
      </c>
    </row>
    <row r="13" spans="1:26">
      <c r="B13" s="110" t="s">
        <v>19</v>
      </c>
      <c r="F13" s="51">
        <v>-520.5</v>
      </c>
      <c r="G13" s="51">
        <v>-544.9</v>
      </c>
      <c r="H13" s="52">
        <v>-725.6</v>
      </c>
      <c r="I13" s="51">
        <v>-909.6</v>
      </c>
      <c r="J13" s="51">
        <v>-1149.4000000000001</v>
      </c>
      <c r="K13" s="51">
        <v>-1165.7</v>
      </c>
      <c r="L13" s="100">
        <f>-L8*Assumptions!H83</f>
        <v>-1334.7946273796792</v>
      </c>
      <c r="M13" s="100">
        <f>-M8*Assumptions!I83</f>
        <v>-1522.3264069304814</v>
      </c>
      <c r="N13" s="100">
        <f>-N8*Assumptions!J83</f>
        <v>-1633.4188915066318</v>
      </c>
      <c r="O13" s="100">
        <f>-O8*Assumptions!K83</f>
        <v>-1755.8054827559549</v>
      </c>
      <c r="P13" s="100">
        <f>-P8*Assumptions!L83</f>
        <v>-1940.7256203299796</v>
      </c>
      <c r="Q13" s="100">
        <f>-Q8*Assumptions!M83</f>
        <v>-2015.893985744646</v>
      </c>
    </row>
    <row r="14" spans="1:26">
      <c r="B14" s="110" t="s">
        <v>41</v>
      </c>
      <c r="F14" s="60">
        <v>0</v>
      </c>
      <c r="G14" s="60">
        <v>0</v>
      </c>
      <c r="H14" s="61">
        <v>213.7</v>
      </c>
      <c r="I14" s="60">
        <v>0</v>
      </c>
      <c r="J14" s="60">
        <v>0</v>
      </c>
      <c r="K14" s="60">
        <v>0</v>
      </c>
      <c r="L14" s="101">
        <v>0</v>
      </c>
      <c r="M14" s="101">
        <v>0</v>
      </c>
      <c r="N14" s="101">
        <v>0</v>
      </c>
      <c r="O14" s="101">
        <v>0</v>
      </c>
      <c r="P14" s="91">
        <v>0</v>
      </c>
      <c r="Q14" s="91">
        <v>0</v>
      </c>
      <c r="S14" s="84"/>
      <c r="T14" s="84"/>
      <c r="U14" s="84"/>
      <c r="V14" s="84"/>
      <c r="W14" s="84"/>
      <c r="X14" s="84"/>
      <c r="Y14" s="84"/>
      <c r="Z14" s="84"/>
    </row>
    <row r="15" spans="1:26" s="3" customFormat="1">
      <c r="B15" s="111" t="s">
        <v>2</v>
      </c>
      <c r="F15" s="56">
        <v>2716.7000000000003</v>
      </c>
      <c r="G15" s="56">
        <v>4243.8000000000011</v>
      </c>
      <c r="H15" s="63">
        <v>7043.8999999999987</v>
      </c>
      <c r="I15" s="63">
        <v>7321</v>
      </c>
      <c r="J15" s="63">
        <v>9511.9</v>
      </c>
      <c r="K15" s="63">
        <v>9937.1</v>
      </c>
      <c r="L15" s="102">
        <f>L10+L12+L13+L14</f>
        <v>12048.117103262035</v>
      </c>
      <c r="M15" s="102">
        <f t="shared" ref="M15:Q15" si="3">M10+M12+M13+M14</f>
        <v>14508.101283572189</v>
      </c>
      <c r="N15" s="102">
        <f t="shared" si="3"/>
        <v>16510.622576501861</v>
      </c>
      <c r="O15" s="102">
        <f t="shared" si="3"/>
        <v>18862.811670234561</v>
      </c>
      <c r="P15" s="102">
        <f t="shared" si="3"/>
        <v>21515.514989935247</v>
      </c>
      <c r="Q15" s="102">
        <f t="shared" si="3"/>
        <v>22759.99897084236</v>
      </c>
      <c r="S15" s="640"/>
      <c r="T15" s="107"/>
      <c r="U15" s="107"/>
      <c r="V15" s="107"/>
      <c r="W15" s="107"/>
      <c r="X15" s="107"/>
      <c r="Y15" s="107"/>
    </row>
    <row r="16" spans="1:26">
      <c r="B16" s="111"/>
      <c r="C16" s="3"/>
      <c r="D16" s="3"/>
      <c r="F16" s="51"/>
      <c r="G16" s="51"/>
      <c r="H16" s="52"/>
      <c r="I16" s="51"/>
      <c r="J16" s="51"/>
      <c r="K16" s="51"/>
      <c r="L16" s="51"/>
      <c r="M16" s="51"/>
      <c r="N16" s="51"/>
      <c r="O16" s="51"/>
    </row>
    <row r="17" spans="2:19">
      <c r="B17" s="110" t="s">
        <v>40</v>
      </c>
      <c r="C17" s="3"/>
      <c r="D17" s="3"/>
      <c r="E17" s="108"/>
      <c r="F17" s="60">
        <v>-828.3</v>
      </c>
      <c r="G17" s="60">
        <v>-918.4</v>
      </c>
      <c r="H17" s="61">
        <v>-862.6</v>
      </c>
      <c r="I17" s="61">
        <v>-875.9</v>
      </c>
      <c r="J17" s="61">
        <v>-1047.5</v>
      </c>
      <c r="K17" s="61">
        <v>-1200.0999999999999</v>
      </c>
      <c r="L17" s="101">
        <f>-L272</f>
        <v>-2057.2033455057299</v>
      </c>
      <c r="M17" s="101">
        <f t="shared" ref="M17:Q17" si="4">-M272</f>
        <v>-2424.8813866319329</v>
      </c>
      <c r="N17" s="101">
        <f t="shared" si="4"/>
        <v>-2648.1766007098759</v>
      </c>
      <c r="O17" s="101">
        <f t="shared" si="4"/>
        <v>-2847.9063416350805</v>
      </c>
      <c r="P17" s="101">
        <f t="shared" si="4"/>
        <v>-3026.0649758890249</v>
      </c>
      <c r="Q17" s="101">
        <f t="shared" si="4"/>
        <v>-2748.7892636745751</v>
      </c>
    </row>
    <row r="18" spans="2:19" s="3" customFormat="1">
      <c r="B18" s="111" t="s">
        <v>1</v>
      </c>
      <c r="F18" s="56">
        <v>3545</v>
      </c>
      <c r="G18" s="56">
        <v>5162.2000000000007</v>
      </c>
      <c r="H18" s="63">
        <v>7906.4999999999991</v>
      </c>
      <c r="I18" s="63">
        <v>8196.9</v>
      </c>
      <c r="J18" s="63">
        <v>10559.4</v>
      </c>
      <c r="K18" s="63">
        <v>11137.2</v>
      </c>
      <c r="L18" s="102">
        <f>L15-L17</f>
        <v>14105.320448767765</v>
      </c>
      <c r="M18" s="102">
        <f t="shared" ref="M18:Q18" si="5">M15-M17</f>
        <v>16932.982670204121</v>
      </c>
      <c r="N18" s="102">
        <f t="shared" si="5"/>
        <v>19158.799177211738</v>
      </c>
      <c r="O18" s="102">
        <f t="shared" si="5"/>
        <v>21710.718011869641</v>
      </c>
      <c r="P18" s="102">
        <f t="shared" si="5"/>
        <v>24541.579965824272</v>
      </c>
      <c r="Q18" s="102">
        <f t="shared" si="5"/>
        <v>25508.788234516935</v>
      </c>
    </row>
    <row r="19" spans="2:19">
      <c r="F19" s="51"/>
      <c r="G19" s="51"/>
      <c r="H19" s="51"/>
      <c r="I19" s="64"/>
      <c r="J19" s="64"/>
      <c r="K19" s="64"/>
      <c r="L19" s="51"/>
      <c r="M19" s="65"/>
      <c r="N19" s="65"/>
      <c r="O19" s="65"/>
    </row>
    <row r="20" spans="2:19">
      <c r="B20" s="110" t="s">
        <v>39</v>
      </c>
      <c r="F20" s="60">
        <v>-25</v>
      </c>
      <c r="G20" s="60">
        <v>-34.9</v>
      </c>
      <c r="H20" s="60">
        <v>-44.6</v>
      </c>
      <c r="I20" s="66">
        <v>-44.599999999999994</v>
      </c>
      <c r="J20" s="66">
        <v>41.200000000000017</v>
      </c>
      <c r="K20" s="66">
        <v>19.800000000000011</v>
      </c>
      <c r="L20" s="101">
        <f ca="1">-L439</f>
        <v>11.232648561392153</v>
      </c>
      <c r="M20" s="101">
        <f t="shared" ref="M20:Q20" ca="1" si="6">-M439</f>
        <v>87.632957716786734</v>
      </c>
      <c r="N20" s="101">
        <f t="shared" ca="1" si="6"/>
        <v>179.4534633705963</v>
      </c>
      <c r="O20" s="101">
        <f t="shared" ca="1" si="6"/>
        <v>286.53057899124713</v>
      </c>
      <c r="P20" s="101">
        <f t="shared" ca="1" si="6"/>
        <v>411.67321795983918</v>
      </c>
      <c r="Q20" s="101">
        <f t="shared" ca="1" si="6"/>
        <v>534.67743799642108</v>
      </c>
    </row>
    <row r="21" spans="2:19" s="3" customFormat="1">
      <c r="B21" s="111" t="s">
        <v>3</v>
      </c>
      <c r="F21" s="56">
        <v>2691.7000000000003</v>
      </c>
      <c r="G21" s="56">
        <v>4208.9000000000015</v>
      </c>
      <c r="H21" s="56">
        <v>6999.2999999999984</v>
      </c>
      <c r="I21" s="56">
        <v>7276.4</v>
      </c>
      <c r="J21" s="56">
        <v>9553.1</v>
      </c>
      <c r="K21" s="56">
        <v>9956.9</v>
      </c>
      <c r="L21" s="102">
        <f ca="1">L15+L20</f>
        <v>12059.349751823427</v>
      </c>
      <c r="M21" s="102">
        <f t="shared" ref="M21:Q21" ca="1" si="7">M15+M20</f>
        <v>14595.734241288976</v>
      </c>
      <c r="N21" s="102">
        <f t="shared" ca="1" si="7"/>
        <v>16690.076039872456</v>
      </c>
      <c r="O21" s="102">
        <f t="shared" ca="1" si="7"/>
        <v>19149.342249225807</v>
      </c>
      <c r="P21" s="102">
        <f t="shared" ca="1" si="7"/>
        <v>21927.188207895088</v>
      </c>
      <c r="Q21" s="102">
        <f t="shared" ca="1" si="7"/>
        <v>23294.676408838783</v>
      </c>
    </row>
    <row r="22" spans="2:19">
      <c r="F22" s="51"/>
      <c r="G22" s="51"/>
      <c r="H22" s="51"/>
      <c r="I22" s="51"/>
      <c r="J22" s="51"/>
      <c r="K22" s="51"/>
      <c r="L22" s="51"/>
      <c r="M22" s="51"/>
      <c r="N22" s="51"/>
      <c r="O22" s="51"/>
    </row>
    <row r="23" spans="2:19">
      <c r="B23" s="110" t="s">
        <v>20</v>
      </c>
      <c r="F23" s="51">
        <f t="shared" ref="F23:K23" si="8">F25-F24</f>
        <v>-477.6</v>
      </c>
      <c r="G23" s="51">
        <f t="shared" si="8"/>
        <v>-776.5</v>
      </c>
      <c r="H23" s="51">
        <f t="shared" si="8"/>
        <v>-1551.6999999999998</v>
      </c>
      <c r="I23" s="51">
        <f t="shared" si="8"/>
        <v>-1793.3000000000002</v>
      </c>
      <c r="J23" s="51">
        <f t="shared" si="8"/>
        <v>-1396</v>
      </c>
      <c r="K23" s="51">
        <f t="shared" si="8"/>
        <v>-1855.8</v>
      </c>
      <c r="L23" s="180">
        <f ca="1">-L365</f>
        <v>-2303.3521916936984</v>
      </c>
      <c r="M23" s="180">
        <f t="shared" ref="M23:Q23" ca="1" si="9">-M365</f>
        <v>-2789.8994681324093</v>
      </c>
      <c r="N23" s="180">
        <f t="shared" ca="1" si="9"/>
        <v>-3169.5119492467829</v>
      </c>
      <c r="O23" s="180">
        <f t="shared" ca="1" si="9"/>
        <v>-3618.6825991952396</v>
      </c>
      <c r="P23" s="180">
        <f t="shared" ca="1" si="9"/>
        <v>-4129.1941060980353</v>
      </c>
      <c r="Q23" s="180">
        <f t="shared" ca="1" si="9"/>
        <v>-4303.7964958238272</v>
      </c>
    </row>
    <row r="24" spans="2:19">
      <c r="B24" s="110" t="s">
        <v>21</v>
      </c>
      <c r="F24" s="60">
        <f t="shared" ref="F24:K24" si="10">-F44</f>
        <v>348.8</v>
      </c>
      <c r="G24" s="60">
        <f t="shared" si="10"/>
        <v>175.8</v>
      </c>
      <c r="H24" s="60">
        <f t="shared" si="10"/>
        <v>487.9</v>
      </c>
      <c r="I24" s="60">
        <f t="shared" si="10"/>
        <v>774.7</v>
      </c>
      <c r="J24" s="60">
        <f t="shared" si="10"/>
        <v>-233.2</v>
      </c>
      <c r="K24" s="60">
        <f t="shared" si="10"/>
        <v>38.1</v>
      </c>
      <c r="L24" s="181">
        <f ca="1">-L366</f>
        <v>84.431837358187749</v>
      </c>
      <c r="M24" s="181">
        <f t="shared" ref="M24:Q24" ca="1" si="11">-M366</f>
        <v>104.28436773523799</v>
      </c>
      <c r="N24" s="181">
        <f t="shared" ca="1" si="11"/>
        <v>98.537957910250952</v>
      </c>
      <c r="O24" s="181">
        <f t="shared" ca="1" si="11"/>
        <v>95.203625337691392</v>
      </c>
      <c r="P24" s="181">
        <f t="shared" ca="1" si="11"/>
        <v>94.591475845339119</v>
      </c>
      <c r="Q24" s="181">
        <f t="shared" ca="1" si="11"/>
        <v>17.576036597491111</v>
      </c>
      <c r="R24" s="7"/>
      <c r="S24" s="7"/>
    </row>
    <row r="25" spans="2:19" s="3" customFormat="1">
      <c r="B25" s="111" t="s">
        <v>22</v>
      </c>
      <c r="F25" s="56">
        <v>-128.80000000000001</v>
      </c>
      <c r="G25" s="56">
        <v>-600.70000000000005</v>
      </c>
      <c r="H25" s="56">
        <v>-1063.8</v>
      </c>
      <c r="I25" s="56">
        <v>-1018.6</v>
      </c>
      <c r="J25" s="56">
        <v>-1629.2</v>
      </c>
      <c r="K25" s="56">
        <v>-1817.7</v>
      </c>
      <c r="L25" s="102">
        <f ca="1">SUM(L23:L24)</f>
        <v>-2218.9203543355106</v>
      </c>
      <c r="M25" s="102">
        <f t="shared" ref="M25:Q25" ca="1" si="12">SUM(M23:M24)</f>
        <v>-2685.6151003971713</v>
      </c>
      <c r="N25" s="102">
        <f t="shared" ca="1" si="12"/>
        <v>-3070.973991336532</v>
      </c>
      <c r="O25" s="102">
        <f t="shared" ca="1" si="12"/>
        <v>-3523.4789738575482</v>
      </c>
      <c r="P25" s="102">
        <f t="shared" ca="1" si="12"/>
        <v>-4034.6026302526961</v>
      </c>
      <c r="Q25" s="102">
        <f t="shared" ca="1" si="12"/>
        <v>-4286.2204592263361</v>
      </c>
    </row>
    <row r="26" spans="2:19">
      <c r="F26" s="51"/>
      <c r="G26" s="51"/>
      <c r="H26" s="51"/>
      <c r="I26" s="51"/>
      <c r="J26" s="51"/>
      <c r="K26" s="51"/>
      <c r="L26" s="51"/>
      <c r="M26" s="51"/>
      <c r="N26" s="51"/>
      <c r="O26" s="51"/>
    </row>
    <row r="27" spans="2:19">
      <c r="B27" s="110" t="s">
        <v>397</v>
      </c>
      <c r="C27" s="3"/>
      <c r="D27" s="3"/>
      <c r="F27" s="60">
        <v>18.2</v>
      </c>
      <c r="G27" s="60">
        <v>88.6</v>
      </c>
      <c r="H27" s="60">
        <v>199.1</v>
      </c>
      <c r="I27" s="60">
        <v>138</v>
      </c>
      <c r="J27" s="60">
        <v>191.3</v>
      </c>
      <c r="K27" s="60">
        <v>209.8</v>
      </c>
      <c r="L27" s="101">
        <f>Assumptions!H187</f>
        <v>200</v>
      </c>
      <c r="M27" s="101">
        <f>Assumptions!I187</f>
        <v>200</v>
      </c>
      <c r="N27" s="101">
        <f>Assumptions!J187</f>
        <v>210</v>
      </c>
      <c r="O27" s="101">
        <f>Assumptions!K187</f>
        <v>210</v>
      </c>
      <c r="P27" s="101">
        <f>Assumptions!L187</f>
        <v>220</v>
      </c>
      <c r="Q27" s="101">
        <f>Assumptions!M187</f>
        <v>220</v>
      </c>
    </row>
    <row r="28" spans="2:19" s="3" customFormat="1">
      <c r="B28" s="111" t="s">
        <v>4</v>
      </c>
      <c r="F28" s="67">
        <v>2581.1000000000004</v>
      </c>
      <c r="G28" s="67">
        <v>3696.8000000000015</v>
      </c>
      <c r="H28" s="67">
        <v>6134.5999999999985</v>
      </c>
      <c r="I28" s="67">
        <v>6395.7999999999993</v>
      </c>
      <c r="J28" s="67">
        <v>8115.2000000000007</v>
      </c>
      <c r="K28" s="67">
        <v>8349</v>
      </c>
      <c r="L28" s="104">
        <f ca="1">L21+L25</f>
        <v>9840.4293974879165</v>
      </c>
      <c r="M28" s="104">
        <f t="shared" ref="M28:Q28" ca="1" si="13">M21+M25</f>
        <v>11910.119140891804</v>
      </c>
      <c r="N28" s="104">
        <f t="shared" ca="1" si="13"/>
        <v>13619.102048535924</v>
      </c>
      <c r="O28" s="104">
        <f t="shared" ca="1" si="13"/>
        <v>15625.863275368258</v>
      </c>
      <c r="P28" s="104">
        <f t="shared" ca="1" si="13"/>
        <v>17892.585577642392</v>
      </c>
      <c r="Q28" s="104">
        <f t="shared" ca="1" si="13"/>
        <v>19008.455949612446</v>
      </c>
    </row>
    <row r="29" spans="2:19" s="3" customFormat="1">
      <c r="B29" s="111"/>
      <c r="F29" s="8"/>
      <c r="G29" s="8"/>
      <c r="H29" s="8"/>
      <c r="I29" s="8"/>
      <c r="J29" s="8"/>
      <c r="K29" s="8"/>
      <c r="L29" s="8"/>
      <c r="M29" s="8"/>
      <c r="N29" s="9"/>
      <c r="O29" s="9"/>
    </row>
    <row r="30" spans="2:19" s="3" customFormat="1">
      <c r="B30" s="111" t="s">
        <v>82</v>
      </c>
      <c r="F30" s="48">
        <f t="shared" ref="F30:K30" si="14">F10/F8</f>
        <v>0.41456006768189513</v>
      </c>
      <c r="G30" s="48">
        <f t="shared" si="14"/>
        <v>0.45559967092320353</v>
      </c>
      <c r="H30" s="48">
        <f t="shared" si="14"/>
        <v>0.5060125732093923</v>
      </c>
      <c r="I30" s="48">
        <f t="shared" si="14"/>
        <v>0.49650504878762974</v>
      </c>
      <c r="J30" s="48">
        <f t="shared" si="14"/>
        <v>0.49982401074078775</v>
      </c>
      <c r="K30" s="48">
        <f t="shared" si="14"/>
        <v>0.50539045887010892</v>
      </c>
      <c r="L30" s="105">
        <f t="shared" ref="L30:Q30" si="15">L10/L8</f>
        <v>0.51104781533061938</v>
      </c>
      <c r="M30" s="105">
        <f t="shared" si="15"/>
        <v>0.53120868737540639</v>
      </c>
      <c r="N30" s="105">
        <f t="shared" si="15"/>
        <v>0.541212583086779</v>
      </c>
      <c r="O30" s="105">
        <f t="shared" si="15"/>
        <v>0.55123818498608812</v>
      </c>
      <c r="P30" s="105">
        <f t="shared" si="15"/>
        <v>0.56128035053122316</v>
      </c>
      <c r="Q30" s="105">
        <f t="shared" si="15"/>
        <v>0.56703047829300102</v>
      </c>
    </row>
    <row r="31" spans="2:19" s="3" customFormat="1">
      <c r="B31" s="111" t="s">
        <v>83</v>
      </c>
      <c r="F31" s="49">
        <f t="shared" ref="F31:K31" si="16">F18/F8</f>
        <v>0.29991539763113367</v>
      </c>
      <c r="G31" s="49">
        <f t="shared" si="16"/>
        <v>0.36929570411703694</v>
      </c>
      <c r="H31" s="49">
        <f t="shared" si="16"/>
        <v>0.42482940196657887</v>
      </c>
      <c r="I31" s="49">
        <f t="shared" si="16"/>
        <v>0.38713196746861622</v>
      </c>
      <c r="J31" s="49">
        <f t="shared" si="16"/>
        <v>0.38316308942794419</v>
      </c>
      <c r="K31" s="49">
        <f t="shared" si="16"/>
        <v>0.3940572269653857</v>
      </c>
      <c r="L31" s="106">
        <f t="shared" ref="L31:Q31" si="17">L18/L8</f>
        <v>0.42269635071749623</v>
      </c>
      <c r="M31" s="106">
        <f t="shared" si="17"/>
        <v>0.44492383744026809</v>
      </c>
      <c r="N31" s="106">
        <f t="shared" si="17"/>
        <v>0.45744124290252475</v>
      </c>
      <c r="O31" s="106">
        <f t="shared" si="17"/>
        <v>0.46987396528463671</v>
      </c>
      <c r="P31" s="106">
        <f t="shared" si="17"/>
        <v>0.4805316263835156</v>
      </c>
      <c r="Q31" s="106">
        <f t="shared" si="17"/>
        <v>0.48084569911228919</v>
      </c>
    </row>
    <row r="32" spans="2:19" s="3" customFormat="1">
      <c r="B32" s="111" t="s">
        <v>84</v>
      </c>
      <c r="F32" s="49">
        <f t="shared" ref="F32:K32" si="18">F21/F8</f>
        <v>0.22772419627749579</v>
      </c>
      <c r="G32" s="49">
        <f t="shared" si="18"/>
        <v>0.30109811496226357</v>
      </c>
      <c r="H32" s="49">
        <f t="shared" si="18"/>
        <v>0.37608403632260484</v>
      </c>
      <c r="I32" s="49">
        <f t="shared" si="18"/>
        <v>0.34365760813095675</v>
      </c>
      <c r="J32" s="49">
        <f t="shared" si="18"/>
        <v>0.34664803962479818</v>
      </c>
      <c r="K32" s="49">
        <f t="shared" si="18"/>
        <v>0.35229576582728589</v>
      </c>
      <c r="L32" s="106">
        <f t="shared" ref="L32:Q32" ca="1" si="19">L21/L8</f>
        <v>0.36138442587222591</v>
      </c>
      <c r="M32" s="106">
        <f t="shared" ca="1" si="19"/>
        <v>0.38351129363166875</v>
      </c>
      <c r="N32" s="106">
        <f t="shared" ca="1" si="19"/>
        <v>0.39849726787146261</v>
      </c>
      <c r="O32" s="106">
        <f t="shared" ca="1" si="19"/>
        <v>0.41443941975189885</v>
      </c>
      <c r="P32" s="106">
        <f t="shared" ca="1" si="19"/>
        <v>0.42934103779097815</v>
      </c>
      <c r="Q32" s="106">
        <f t="shared" ca="1" si="19"/>
        <v>0.43910925365893821</v>
      </c>
    </row>
    <row r="33" spans="1:17">
      <c r="B33" s="111" t="s">
        <v>85</v>
      </c>
      <c r="F33" s="50">
        <f t="shared" ref="F33:Q33" si="20">F28/F116</f>
        <v>0.1859997549885061</v>
      </c>
      <c r="G33" s="50">
        <f t="shared" si="20"/>
        <v>0.24160670287368727</v>
      </c>
      <c r="H33" s="50">
        <f t="shared" si="20"/>
        <v>0.51795876323477252</v>
      </c>
      <c r="I33" s="50">
        <f t="shared" si="20"/>
        <v>0.56670210880737193</v>
      </c>
      <c r="J33" s="50">
        <f t="shared" si="20"/>
        <v>0.50064468367315462</v>
      </c>
      <c r="K33" s="50">
        <f t="shared" si="20"/>
        <v>0.37912260068386466</v>
      </c>
      <c r="L33" s="186">
        <f t="shared" ca="1" si="20"/>
        <v>0.34763225389565033</v>
      </c>
      <c r="M33" s="186">
        <f t="shared" ca="1" si="20"/>
        <v>0.33008208480577744</v>
      </c>
      <c r="N33" s="186">
        <f t="shared" ca="1" si="20"/>
        <v>0.30297084115375245</v>
      </c>
      <c r="O33" s="186">
        <f t="shared" ca="1" si="20"/>
        <v>0.28284040397167853</v>
      </c>
      <c r="P33" s="186">
        <f t="shared" ca="1" si="20"/>
        <v>0.26716903586029944</v>
      </c>
      <c r="Q33" s="186">
        <f t="shared" ca="1" si="20"/>
        <v>0.23678597769931811</v>
      </c>
    </row>
    <row r="34" spans="1:17">
      <c r="F34" s="10"/>
      <c r="G34" s="10"/>
      <c r="H34" s="10"/>
      <c r="I34" s="10"/>
      <c r="J34" s="10"/>
      <c r="K34" s="10"/>
      <c r="L34" s="1"/>
      <c r="M34" s="1"/>
      <c r="N34" s="1"/>
      <c r="O34" s="1"/>
      <c r="P34" s="1"/>
      <c r="Q34" s="1"/>
    </row>
    <row r="35" spans="1:17" ht="21">
      <c r="B35" s="109"/>
      <c r="C35" s="4"/>
      <c r="D35" s="4"/>
      <c r="E35" s="4"/>
      <c r="F35" s="4"/>
      <c r="G35" s="4"/>
      <c r="H35" s="4"/>
      <c r="I35" s="4"/>
      <c r="J35" s="4"/>
      <c r="K35" s="4"/>
      <c r="L35" s="4"/>
      <c r="M35" s="4"/>
      <c r="N35" s="1"/>
      <c r="O35" s="1"/>
      <c r="P35" s="1"/>
      <c r="Q35" s="1"/>
    </row>
    <row r="36" spans="1:17" ht="24">
      <c r="A36" s="1" t="s">
        <v>25</v>
      </c>
      <c r="B36" s="135" t="s">
        <v>251</v>
      </c>
      <c r="C36" s="136"/>
      <c r="D36" s="136"/>
      <c r="E36" s="137"/>
      <c r="F36" s="137"/>
      <c r="G36" s="137"/>
      <c r="H36" s="137"/>
      <c r="I36" s="137"/>
      <c r="J36" s="137"/>
      <c r="K36" s="137"/>
      <c r="L36" s="137"/>
      <c r="M36" s="137"/>
      <c r="N36" s="137"/>
      <c r="O36" s="137"/>
      <c r="P36" s="137"/>
      <c r="Q36" s="137"/>
    </row>
    <row r="37" spans="1:17">
      <c r="B37" s="126"/>
      <c r="C37" s="127"/>
      <c r="D37" s="127"/>
      <c r="E37" s="127"/>
      <c r="F37" s="127"/>
      <c r="G37" s="127"/>
      <c r="H37" s="127"/>
      <c r="I37" s="127"/>
      <c r="J37" s="127"/>
      <c r="K37" s="127"/>
      <c r="L37" s="127"/>
      <c r="M37" s="127"/>
      <c r="N37" s="127"/>
      <c r="O37" s="127"/>
      <c r="P37" s="127"/>
      <c r="Q37" s="127"/>
    </row>
    <row r="38" spans="1:17">
      <c r="B38" s="116" t="s">
        <v>132</v>
      </c>
      <c r="F38" s="1"/>
      <c r="G38" s="1"/>
      <c r="H38" s="1"/>
      <c r="I38" s="1"/>
      <c r="J38" s="1"/>
      <c r="K38" s="1"/>
      <c r="L38" s="1"/>
      <c r="M38" s="1"/>
      <c r="N38" s="1"/>
      <c r="O38" s="1"/>
      <c r="P38" s="1"/>
      <c r="Q38" s="1"/>
    </row>
    <row r="39" spans="1:17">
      <c r="B39" s="115" t="str">
        <f>CONCATENATE("Running ", CHOOSE(Assumptions!$B$7,Assumptions!$B$13,Assumptions!$B$14,Assumptions!$B$15)," Model")</f>
        <v>Running Base Case Model</v>
      </c>
      <c r="F39" s="1"/>
      <c r="G39" s="1"/>
      <c r="H39" s="1"/>
      <c r="I39" s="1"/>
      <c r="J39" s="1"/>
      <c r="K39" s="1"/>
      <c r="L39" s="47" t="s">
        <v>86</v>
      </c>
      <c r="M39" s="47"/>
      <c r="N39" s="47"/>
      <c r="O39" s="47"/>
      <c r="P39" s="47"/>
      <c r="Q39" s="47"/>
    </row>
    <row r="40" spans="1:17" s="10" customFormat="1">
      <c r="B40" s="110"/>
      <c r="C40" s="1"/>
      <c r="D40" s="1"/>
      <c r="E40" s="1"/>
      <c r="F40" s="43" t="s">
        <v>38</v>
      </c>
      <c r="G40" s="43" t="s">
        <v>10</v>
      </c>
      <c r="H40" s="44" t="s">
        <v>11</v>
      </c>
      <c r="I40" s="44" t="s">
        <v>12</v>
      </c>
      <c r="J40" s="44" t="s">
        <v>13</v>
      </c>
      <c r="K40" s="44" t="s">
        <v>14</v>
      </c>
      <c r="L40" s="44" t="s">
        <v>15</v>
      </c>
      <c r="M40" s="44" t="s">
        <v>78</v>
      </c>
      <c r="N40" s="44" t="s">
        <v>79</v>
      </c>
      <c r="O40" s="44" t="s">
        <v>80</v>
      </c>
      <c r="P40" s="44" t="s">
        <v>81</v>
      </c>
      <c r="Q40" s="44" t="s">
        <v>295</v>
      </c>
    </row>
    <row r="41" spans="1:17" ht="19">
      <c r="B41" s="3" t="s">
        <v>393</v>
      </c>
      <c r="F41" s="1"/>
      <c r="G41" s="1"/>
      <c r="H41" s="1"/>
      <c r="I41" s="1"/>
      <c r="J41" s="1"/>
      <c r="K41" s="1"/>
      <c r="L41" s="1"/>
      <c r="M41" s="1"/>
      <c r="N41" s="1"/>
      <c r="O41" s="1"/>
      <c r="P41" s="1"/>
      <c r="Q41" s="1"/>
    </row>
    <row r="42" spans="1:17">
      <c r="B42" s="110" t="s">
        <v>4</v>
      </c>
      <c r="F42" s="51">
        <v>2581.1</v>
      </c>
      <c r="G42" s="51">
        <v>3696.8</v>
      </c>
      <c r="H42" s="51">
        <v>6134.6</v>
      </c>
      <c r="I42" s="51">
        <v>6395.8</v>
      </c>
      <c r="J42" s="51">
        <v>8115.2</v>
      </c>
      <c r="K42" s="51">
        <v>8349</v>
      </c>
      <c r="L42" s="100">
        <f ca="1">L28</f>
        <v>9840.4293974879165</v>
      </c>
      <c r="M42" s="100">
        <f t="shared" ref="M42:Q42" ca="1" si="21">M28</f>
        <v>11910.119140891804</v>
      </c>
      <c r="N42" s="100">
        <f t="shared" ca="1" si="21"/>
        <v>13619.102048535924</v>
      </c>
      <c r="O42" s="100">
        <f t="shared" ca="1" si="21"/>
        <v>15625.863275368258</v>
      </c>
      <c r="P42" s="100">
        <f t="shared" ca="1" si="21"/>
        <v>17892.585577642392</v>
      </c>
      <c r="Q42" s="100">
        <f t="shared" ca="1" si="21"/>
        <v>19008.455949612446</v>
      </c>
    </row>
    <row r="43" spans="1:17">
      <c r="B43" s="110" t="s">
        <v>162</v>
      </c>
      <c r="F43" s="51">
        <v>828.3</v>
      </c>
      <c r="G43" s="51">
        <v>918.4</v>
      </c>
      <c r="H43" s="51">
        <v>862.6</v>
      </c>
      <c r="I43" s="51">
        <v>875.9</v>
      </c>
      <c r="J43" s="51">
        <v>1047.5</v>
      </c>
      <c r="K43" s="51">
        <v>1200.0999999999999</v>
      </c>
      <c r="L43" s="100">
        <f>L272</f>
        <v>2057.2033455057299</v>
      </c>
      <c r="M43" s="100">
        <f t="shared" ref="M43:Q43" si="22">M272</f>
        <v>2424.8813866319329</v>
      </c>
      <c r="N43" s="100">
        <f t="shared" si="22"/>
        <v>2648.1766007098759</v>
      </c>
      <c r="O43" s="100">
        <f t="shared" si="22"/>
        <v>2847.9063416350805</v>
      </c>
      <c r="P43" s="100">
        <f t="shared" si="22"/>
        <v>3026.0649758890249</v>
      </c>
      <c r="Q43" s="100">
        <f t="shared" si="22"/>
        <v>2748.7892636745751</v>
      </c>
    </row>
    <row r="44" spans="1:17">
      <c r="B44" s="110" t="s">
        <v>21</v>
      </c>
      <c r="F44" s="51">
        <v>-348.8</v>
      </c>
      <c r="G44" s="51">
        <v>-175.8</v>
      </c>
      <c r="H44" s="51">
        <v>-487.9</v>
      </c>
      <c r="I44" s="51">
        <v>-774.7</v>
      </c>
      <c r="J44" s="51">
        <v>233.2</v>
      </c>
      <c r="K44" s="51">
        <v>-38.1</v>
      </c>
      <c r="L44" s="100">
        <f ca="1">-L24</f>
        <v>-84.431837358187749</v>
      </c>
      <c r="M44" s="100">
        <f t="shared" ref="M44:Q44" ca="1" si="23">-M24</f>
        <v>-104.28436773523799</v>
      </c>
      <c r="N44" s="100">
        <f t="shared" ca="1" si="23"/>
        <v>-98.537957910250952</v>
      </c>
      <c r="O44" s="100">
        <f t="shared" ca="1" si="23"/>
        <v>-95.203625337691392</v>
      </c>
      <c r="P44" s="100">
        <f t="shared" ca="1" si="23"/>
        <v>-94.591475845339119</v>
      </c>
      <c r="Q44" s="100">
        <f t="shared" ca="1" si="23"/>
        <v>-17.576036597491111</v>
      </c>
    </row>
    <row r="45" spans="1:17">
      <c r="B45" s="110" t="s">
        <v>133</v>
      </c>
      <c r="F45" s="53">
        <v>-671.8</v>
      </c>
      <c r="G45" s="53">
        <v>135.09999999999991</v>
      </c>
      <c r="H45" s="53">
        <v>-1520.7</v>
      </c>
      <c r="I45" s="53">
        <v>-4013.6000000000004</v>
      </c>
      <c r="J45" s="53">
        <v>-948.10000000000014</v>
      </c>
      <c r="K45" s="53">
        <v>-874.1</v>
      </c>
      <c r="L45" s="100">
        <f>L212</f>
        <v>-2947.5971621941226</v>
      </c>
      <c r="M45" s="100">
        <f t="shared" ref="M45:Q45" si="24">M212</f>
        <v>-239.82828329763652</v>
      </c>
      <c r="N45" s="100">
        <f t="shared" si="24"/>
        <v>107.83408473596137</v>
      </c>
      <c r="O45" s="100">
        <f t="shared" si="24"/>
        <v>-184.78496959772929</v>
      </c>
      <c r="P45" s="100">
        <f t="shared" si="24"/>
        <v>-762.33190880322763</v>
      </c>
      <c r="Q45" s="100">
        <f t="shared" si="24"/>
        <v>-179.90718708800341</v>
      </c>
    </row>
    <row r="46" spans="1:17">
      <c r="B46" s="110" t="s">
        <v>47</v>
      </c>
      <c r="F46" s="51">
        <v>975.3</v>
      </c>
      <c r="G46" s="51">
        <v>1198.3</v>
      </c>
      <c r="H46" s="51">
        <v>5529.8</v>
      </c>
      <c r="I46" s="51">
        <v>6632.7</v>
      </c>
      <c r="J46" s="51">
        <v>-1564.6</v>
      </c>
      <c r="K46" s="51">
        <v>1871.8</v>
      </c>
      <c r="L46" s="100">
        <f t="shared" ref="L46:Q46" si="25">L213</f>
        <v>2146.3194106951923</v>
      </c>
      <c r="M46" s="100">
        <f t="shared" si="25"/>
        <v>2812.9766932620296</v>
      </c>
      <c r="N46" s="100">
        <f t="shared" si="25"/>
        <v>1875.7999470405375</v>
      </c>
      <c r="O46" s="100">
        <f t="shared" si="25"/>
        <v>2550.4943391604902</v>
      </c>
      <c r="P46" s="100">
        <f t="shared" si="25"/>
        <v>2871.1284518072316</v>
      </c>
      <c r="Q46" s="100">
        <f t="shared" si="25"/>
        <v>-954.90589039823317</v>
      </c>
    </row>
    <row r="47" spans="1:17" s="25" customFormat="1">
      <c r="B47" s="203" t="s">
        <v>216</v>
      </c>
      <c r="F47" s="204">
        <v>-95.3</v>
      </c>
      <c r="G47" s="204">
        <v>-1125.4000000000001</v>
      </c>
      <c r="H47" s="204">
        <v>542.29999999999995</v>
      </c>
      <c r="I47" s="204">
        <v>212.2</v>
      </c>
      <c r="J47" s="204">
        <v>-88.6</v>
      </c>
      <c r="K47" s="204">
        <v>1038.7</v>
      </c>
      <c r="L47" s="100">
        <f t="shared" ref="L47:Q47" si="26">-SUM(L512,L520)</f>
        <v>-918.49597053475941</v>
      </c>
      <c r="M47" s="100">
        <f t="shared" si="26"/>
        <v>-649.44614835294101</v>
      </c>
      <c r="N47" s="100">
        <f t="shared" si="26"/>
        <v>-383.59581181217652</v>
      </c>
      <c r="O47" s="100">
        <f t="shared" si="26"/>
        <v>-253.05660785427335</v>
      </c>
      <c r="P47" s="100">
        <f t="shared" si="26"/>
        <v>-270.69077258501352</v>
      </c>
      <c r="Q47" s="100">
        <f t="shared" si="26"/>
        <v>-199.89855218974481</v>
      </c>
    </row>
    <row r="48" spans="1:17" s="25" customFormat="1">
      <c r="B48" s="203" t="s">
        <v>230</v>
      </c>
      <c r="F48" s="204">
        <v>386.2999999999999</v>
      </c>
      <c r="G48" s="204">
        <v>659.2</v>
      </c>
      <c r="H48" s="204">
        <v>531.89999999999964</v>
      </c>
      <c r="I48" s="204">
        <v>106.60000000000036</v>
      </c>
      <c r="J48" s="204">
        <v>-258.39999999999986</v>
      </c>
      <c r="K48" s="204">
        <v>822.29999999999984</v>
      </c>
      <c r="L48" s="100">
        <f>L214</f>
        <v>0</v>
      </c>
      <c r="M48" s="100">
        <f t="shared" ref="M48:Q48" si="27">M214</f>
        <v>0</v>
      </c>
      <c r="N48" s="100">
        <f t="shared" si="27"/>
        <v>0</v>
      </c>
      <c r="O48" s="100">
        <f t="shared" si="27"/>
        <v>0</v>
      </c>
      <c r="P48" s="100">
        <f t="shared" si="27"/>
        <v>0</v>
      </c>
      <c r="Q48" s="100">
        <f t="shared" si="27"/>
        <v>0</v>
      </c>
    </row>
    <row r="49" spans="2:17" s="3" customFormat="1">
      <c r="B49" s="111" t="s">
        <v>28</v>
      </c>
      <c r="F49" s="193">
        <v>3655.1</v>
      </c>
      <c r="G49" s="193">
        <v>5306.6</v>
      </c>
      <c r="H49" s="193">
        <v>11592.6</v>
      </c>
      <c r="I49" s="193">
        <v>9434.9000000000015</v>
      </c>
      <c r="J49" s="193">
        <v>6536.2000000000016</v>
      </c>
      <c r="K49" s="193">
        <v>12369.700000000003</v>
      </c>
      <c r="L49" s="134">
        <f t="shared" ref="L49:Q49" ca="1" si="28">SUM(L42:L48)</f>
        <v>10093.427183601769</v>
      </c>
      <c r="M49" s="134">
        <f t="shared" ca="1" si="28"/>
        <v>16154.418421399951</v>
      </c>
      <c r="N49" s="134">
        <f t="shared" ca="1" si="28"/>
        <v>17768.778911299869</v>
      </c>
      <c r="O49" s="134">
        <f t="shared" ca="1" si="28"/>
        <v>20491.218753374134</v>
      </c>
      <c r="P49" s="134">
        <f t="shared" ca="1" si="28"/>
        <v>22662.164848105065</v>
      </c>
      <c r="Q49" s="134">
        <f t="shared" ca="1" si="28"/>
        <v>20404.95754701355</v>
      </c>
    </row>
    <row r="51" spans="2:17" ht="19">
      <c r="B51" s="3" t="s">
        <v>394</v>
      </c>
      <c r="C51" s="3"/>
      <c r="D51" s="3"/>
      <c r="F51" s="84"/>
      <c r="G51" s="84"/>
      <c r="H51" s="84"/>
      <c r="I51" s="84"/>
      <c r="J51" s="84"/>
      <c r="K51" s="84"/>
      <c r="L51" s="121"/>
      <c r="M51" s="121"/>
      <c r="N51" s="121"/>
      <c r="O51" s="121"/>
      <c r="P51" s="121"/>
      <c r="Q51" s="121"/>
    </row>
    <row r="52" spans="2:17">
      <c r="B52" s="110" t="s">
        <v>45</v>
      </c>
      <c r="F52" s="51">
        <v>-766.6</v>
      </c>
      <c r="G52" s="51">
        <v>-962</v>
      </c>
      <c r="H52" s="51">
        <v>-900.7</v>
      </c>
      <c r="I52" s="51">
        <v>-1281.8</v>
      </c>
      <c r="J52" s="51">
        <v>-2155.6</v>
      </c>
      <c r="K52" s="51">
        <v>-2067.1999999999998</v>
      </c>
      <c r="L52" s="100">
        <f>-L285</f>
        <v>-2335.8905979144388</v>
      </c>
      <c r="M52" s="100">
        <f t="shared" ref="M52:Q52" si="29">-M285</f>
        <v>-2473.7804112620324</v>
      </c>
      <c r="N52" s="100">
        <f t="shared" si="29"/>
        <v>-2512.9521407794332</v>
      </c>
      <c r="O52" s="100">
        <f t="shared" si="29"/>
        <v>-2541.2974092520399</v>
      </c>
      <c r="P52" s="100">
        <f t="shared" si="29"/>
        <v>-2553.5863425394473</v>
      </c>
      <c r="Q52" s="100">
        <f t="shared" si="29"/>
        <v>-2387.2428778555018</v>
      </c>
    </row>
    <row r="53" spans="2:17">
      <c r="B53" s="110" t="s">
        <v>164</v>
      </c>
      <c r="F53" s="51">
        <v>-424.9</v>
      </c>
      <c r="G53" s="51">
        <v>-658.9</v>
      </c>
      <c r="H53" s="51">
        <v>-725</v>
      </c>
      <c r="I53" s="51">
        <v>-930.6</v>
      </c>
      <c r="J53" s="51">
        <v>-985.9</v>
      </c>
      <c r="K53" s="51">
        <v>-1138.4000000000001</v>
      </c>
      <c r="L53" s="100">
        <f>-L286</f>
        <v>-1334.7946273796792</v>
      </c>
      <c r="M53" s="100">
        <f t="shared" ref="M53:Q53" si="30">-M286</f>
        <v>-1332.0356060641714</v>
      </c>
      <c r="N53" s="100">
        <f t="shared" si="30"/>
        <v>-1256.4760703897166</v>
      </c>
      <c r="O53" s="100">
        <f t="shared" si="30"/>
        <v>-1155.1351860236546</v>
      </c>
      <c r="P53" s="100">
        <f t="shared" si="30"/>
        <v>-1021.4345370157788</v>
      </c>
      <c r="Q53" s="100">
        <f t="shared" si="30"/>
        <v>-1060.9968346024452</v>
      </c>
    </row>
    <row r="54" spans="2:17">
      <c r="B54" s="110" t="s">
        <v>231</v>
      </c>
      <c r="F54" s="51">
        <v>0.9</v>
      </c>
      <c r="G54" s="51">
        <v>-12.2</v>
      </c>
      <c r="H54" s="51">
        <v>-124.4</v>
      </c>
      <c r="I54" s="51">
        <v>-240</v>
      </c>
      <c r="J54" s="51">
        <v>-561.5</v>
      </c>
      <c r="K54" s="51">
        <v>-526.20000000000005</v>
      </c>
      <c r="L54" s="100">
        <f>-L401</f>
        <v>-100</v>
      </c>
      <c r="M54" s="100">
        <f t="shared" ref="M54:Q54" si="31">-M401</f>
        <v>-100</v>
      </c>
      <c r="N54" s="100">
        <f t="shared" si="31"/>
        <v>-100</v>
      </c>
      <c r="O54" s="100">
        <f t="shared" si="31"/>
        <v>-100</v>
      </c>
      <c r="P54" s="100">
        <f t="shared" si="31"/>
        <v>-100</v>
      </c>
      <c r="Q54" s="100">
        <f t="shared" si="31"/>
        <v>-100</v>
      </c>
    </row>
    <row r="55" spans="2:17" s="25" customFormat="1">
      <c r="B55" s="203" t="s">
        <v>42</v>
      </c>
      <c r="F55" s="205">
        <v>-272.5</v>
      </c>
      <c r="G55" s="205">
        <v>-339.2000000000001</v>
      </c>
      <c r="H55" s="205">
        <v>992.7</v>
      </c>
      <c r="I55" s="205">
        <v>530.4</v>
      </c>
      <c r="J55" s="205">
        <v>68.399999999999977</v>
      </c>
      <c r="K55" s="205">
        <v>0</v>
      </c>
      <c r="L55" s="101">
        <v>0</v>
      </c>
      <c r="M55" s="101">
        <v>0</v>
      </c>
      <c r="N55" s="101">
        <v>0</v>
      </c>
      <c r="O55" s="101">
        <v>0</v>
      </c>
      <c r="P55" s="101">
        <v>0</v>
      </c>
      <c r="Q55" s="101">
        <v>0</v>
      </c>
    </row>
    <row r="56" spans="2:17" s="3" customFormat="1">
      <c r="B56" s="111" t="s">
        <v>28</v>
      </c>
      <c r="F56" s="56">
        <v>-1463.1</v>
      </c>
      <c r="G56" s="56">
        <v>-1972.3000000000002</v>
      </c>
      <c r="H56" s="56">
        <v>-757.4</v>
      </c>
      <c r="I56" s="56">
        <v>-1922</v>
      </c>
      <c r="J56" s="56">
        <v>-3634.6</v>
      </c>
      <c r="K56" s="56">
        <v>-3731.8</v>
      </c>
      <c r="L56" s="102">
        <f>SUM(L52:L55)</f>
        <v>-3770.685225294118</v>
      </c>
      <c r="M56" s="102">
        <f t="shared" ref="M56:Q56" si="32">SUM(M52:M55)</f>
        <v>-3905.816017326204</v>
      </c>
      <c r="N56" s="102">
        <f t="shared" si="32"/>
        <v>-3869.42821116915</v>
      </c>
      <c r="O56" s="102">
        <f t="shared" si="32"/>
        <v>-3796.4325952756944</v>
      </c>
      <c r="P56" s="102">
        <f t="shared" si="32"/>
        <v>-3675.0208795552262</v>
      </c>
      <c r="Q56" s="102">
        <f t="shared" si="32"/>
        <v>-3548.239712457947</v>
      </c>
    </row>
    <row r="57" spans="2:17">
      <c r="F57" s="192"/>
      <c r="G57" s="192"/>
      <c r="H57" s="192"/>
      <c r="I57" s="192"/>
      <c r="J57" s="192"/>
      <c r="K57" s="192"/>
    </row>
    <row r="58" spans="2:17">
      <c r="B58" s="3" t="s">
        <v>360</v>
      </c>
      <c r="C58" s="3"/>
      <c r="D58" s="3"/>
    </row>
    <row r="59" spans="2:17">
      <c r="B59" s="110" t="s">
        <v>43</v>
      </c>
      <c r="F59" s="51">
        <v>-76.900000000000006</v>
      </c>
      <c r="G59" s="51">
        <v>1424.1</v>
      </c>
      <c r="H59" s="51">
        <v>-73.5</v>
      </c>
      <c r="I59" s="51">
        <v>-75.600000000000023</v>
      </c>
      <c r="J59" s="51">
        <v>97.5</v>
      </c>
      <c r="K59" s="51">
        <v>-84.2</v>
      </c>
      <c r="L59" s="100">
        <f t="shared" ref="L59:Q59" ca="1" si="33">L411+L429</f>
        <v>-1090.3</v>
      </c>
      <c r="M59" s="100">
        <f t="shared" ca="1" si="33"/>
        <v>-80</v>
      </c>
      <c r="N59" s="100">
        <f t="shared" ca="1" si="33"/>
        <v>-80</v>
      </c>
      <c r="O59" s="100">
        <f t="shared" ca="1" si="33"/>
        <v>-80</v>
      </c>
      <c r="P59" s="100">
        <f t="shared" ca="1" si="33"/>
        <v>-80</v>
      </c>
      <c r="Q59" s="100">
        <f t="shared" ca="1" si="33"/>
        <v>0</v>
      </c>
    </row>
    <row r="60" spans="2:17">
      <c r="B60" s="110" t="s">
        <v>26</v>
      </c>
      <c r="F60" s="51">
        <v>-382.8</v>
      </c>
      <c r="G60" s="51">
        <v>-1169.5999999999999</v>
      </c>
      <c r="H60" s="51">
        <v>-8511.2999999999993</v>
      </c>
      <c r="I60" s="51">
        <v>-4557.8999999999996</v>
      </c>
      <c r="J60" s="51">
        <v>-900.6</v>
      </c>
      <c r="K60" s="51">
        <v>-376</v>
      </c>
      <c r="L60" s="100">
        <f>L423</f>
        <v>-800</v>
      </c>
      <c r="M60" s="100">
        <f t="shared" ref="M60:Q60" si="34">M423</f>
        <v>-800</v>
      </c>
      <c r="N60" s="100">
        <f t="shared" si="34"/>
        <v>-800</v>
      </c>
      <c r="O60" s="100">
        <f t="shared" si="34"/>
        <v>-800</v>
      </c>
      <c r="P60" s="100">
        <f t="shared" si="34"/>
        <v>-800</v>
      </c>
      <c r="Q60" s="100">
        <f t="shared" si="34"/>
        <v>0</v>
      </c>
    </row>
    <row r="61" spans="2:17">
      <c r="B61" s="110" t="s">
        <v>27</v>
      </c>
      <c r="F61" s="60">
        <v>-1325.7</v>
      </c>
      <c r="G61" s="60">
        <v>-1066.4000000000001</v>
      </c>
      <c r="H61" s="60">
        <v>-1368.3</v>
      </c>
      <c r="I61" s="60">
        <v>-2559.8000000000002</v>
      </c>
      <c r="J61" s="60">
        <v>-2348.3000000000002</v>
      </c>
      <c r="K61" s="60">
        <v>-2452.9</v>
      </c>
      <c r="L61" s="101">
        <f ca="1">-L540</f>
        <v>-2755.3202312966168</v>
      </c>
      <c r="M61" s="101">
        <f t="shared" ref="M61:Q61" ca="1" si="35">-M540</f>
        <v>-3334.8333594497053</v>
      </c>
      <c r="N61" s="101">
        <f t="shared" ca="1" si="35"/>
        <v>-3949.5395940754179</v>
      </c>
      <c r="O61" s="101">
        <f t="shared" ca="1" si="35"/>
        <v>-4531.5003498567949</v>
      </c>
      <c r="P61" s="101">
        <f t="shared" ca="1" si="35"/>
        <v>-5367.7756732927173</v>
      </c>
      <c r="Q61" s="101">
        <f t="shared" ca="1" si="35"/>
        <v>-5702.5367848837332</v>
      </c>
    </row>
    <row r="62" spans="2:17">
      <c r="B62" s="111" t="s">
        <v>28</v>
      </c>
      <c r="C62" s="3"/>
      <c r="D62" s="3"/>
      <c r="F62" s="56">
        <v>-1785.4</v>
      </c>
      <c r="G62" s="56">
        <v>-811.90000000000009</v>
      </c>
      <c r="H62" s="56">
        <v>-9953.0999999999985</v>
      </c>
      <c r="I62" s="56">
        <v>-7193.3</v>
      </c>
      <c r="J62" s="56">
        <v>-3151.4</v>
      </c>
      <c r="K62" s="56">
        <v>-2913.1</v>
      </c>
      <c r="L62" s="102">
        <f ca="1">SUM(L59:L61)</f>
        <v>-4645.620231296617</v>
      </c>
      <c r="M62" s="102">
        <f t="shared" ref="M62:Q62" ca="1" si="36">SUM(M59:M61)</f>
        <v>-4214.8333594497053</v>
      </c>
      <c r="N62" s="102">
        <f t="shared" ca="1" si="36"/>
        <v>-4829.5395940754179</v>
      </c>
      <c r="O62" s="102">
        <f t="shared" ca="1" si="36"/>
        <v>-5411.5003498567949</v>
      </c>
      <c r="P62" s="102">
        <f t="shared" ca="1" si="36"/>
        <v>-6247.7756732927173</v>
      </c>
      <c r="Q62" s="102">
        <f t="shared" ca="1" si="36"/>
        <v>-5702.5367848837332</v>
      </c>
    </row>
    <row r="63" spans="2:17">
      <c r="B63" s="111"/>
      <c r="C63" s="3"/>
      <c r="D63" s="3"/>
      <c r="F63" s="185"/>
      <c r="G63" s="185"/>
      <c r="H63" s="185"/>
      <c r="I63" s="185"/>
      <c r="J63" s="185"/>
      <c r="K63" s="185"/>
      <c r="L63" s="56"/>
      <c r="M63" s="56"/>
    </row>
    <row r="64" spans="2:17">
      <c r="B64" s="110" t="s">
        <v>44</v>
      </c>
      <c r="F64" s="51">
        <v>4.5999999999999996</v>
      </c>
      <c r="G64" s="51">
        <v>-5.3</v>
      </c>
      <c r="H64" s="51">
        <v>20.3</v>
      </c>
      <c r="I64" s="51">
        <v>-3.1</v>
      </c>
      <c r="J64" s="51">
        <v>-13.8</v>
      </c>
      <c r="K64" s="51">
        <v>6.4</v>
      </c>
      <c r="L64" s="100">
        <f>Assumptions!H188</f>
        <v>0</v>
      </c>
      <c r="M64" s="100">
        <f>Assumptions!I188</f>
        <v>0</v>
      </c>
      <c r="N64" s="100">
        <f>Assumptions!J188</f>
        <v>0</v>
      </c>
      <c r="O64" s="100">
        <f>Assumptions!K188</f>
        <v>0</v>
      </c>
      <c r="P64" s="100">
        <f>Assumptions!L188</f>
        <v>0</v>
      </c>
      <c r="Q64" s="100">
        <f>Assumptions!M188</f>
        <v>0</v>
      </c>
    </row>
    <row r="66" spans="1:17" s="3" customFormat="1">
      <c r="B66" s="3" t="s">
        <v>361</v>
      </c>
      <c r="F66" s="58"/>
      <c r="G66" s="58"/>
      <c r="H66" s="58"/>
      <c r="I66" s="58"/>
      <c r="J66" s="58"/>
      <c r="K66" s="58"/>
      <c r="L66" s="58"/>
      <c r="M66" s="58"/>
      <c r="N66" s="58"/>
      <c r="O66" s="58"/>
      <c r="P66" s="58"/>
      <c r="Q66" s="58"/>
    </row>
    <row r="67" spans="1:17">
      <c r="B67" s="110" t="s">
        <v>29</v>
      </c>
      <c r="F67" s="69">
        <v>3121.1000000000004</v>
      </c>
      <c r="G67" s="69">
        <v>3532.3</v>
      </c>
      <c r="H67" s="69">
        <v>6049.4000000000005</v>
      </c>
      <c r="I67" s="69">
        <v>6951.800000000002</v>
      </c>
      <c r="J67" s="69">
        <v>7268.300000000002</v>
      </c>
      <c r="K67" s="69">
        <v>7004.7000000000035</v>
      </c>
      <c r="L67" s="97">
        <f>K69</f>
        <v>12735.900000000005</v>
      </c>
      <c r="M67" s="97">
        <f t="shared" ref="M67:Q67" ca="1" si="37">L69</f>
        <v>14413.021727011039</v>
      </c>
      <c r="N67" s="97">
        <f t="shared" ca="1" si="37"/>
        <v>22446.790771635082</v>
      </c>
      <c r="O67" s="97">
        <f t="shared" ca="1" si="37"/>
        <v>31516.601877690384</v>
      </c>
      <c r="P67" s="97">
        <f t="shared" ca="1" si="37"/>
        <v>42799.88768593203</v>
      </c>
      <c r="Q67" s="97">
        <f t="shared" ca="1" si="37"/>
        <v>55539.255981189155</v>
      </c>
    </row>
    <row r="68" spans="1:17">
      <c r="B68" s="110" t="s">
        <v>30</v>
      </c>
      <c r="F68" s="53">
        <v>411.19999999999982</v>
      </c>
      <c r="G68" s="53">
        <v>2517.1000000000004</v>
      </c>
      <c r="H68" s="53">
        <v>902.40000000000146</v>
      </c>
      <c r="I68" s="53">
        <v>316.5</v>
      </c>
      <c r="J68" s="53">
        <v>-263.59999999999854</v>
      </c>
      <c r="K68" s="53">
        <v>5731.2000000000025</v>
      </c>
      <c r="L68" s="90">
        <f ca="1">L49+L56+L62+L64</f>
        <v>1677.1217270110337</v>
      </c>
      <c r="M68" s="90">
        <f t="shared" ref="M68:Q68" ca="1" si="38">M49+M56+M62+M64</f>
        <v>8033.7690446240413</v>
      </c>
      <c r="N68" s="90">
        <f t="shared" ca="1" si="38"/>
        <v>9069.8111060553019</v>
      </c>
      <c r="O68" s="90">
        <f t="shared" ca="1" si="38"/>
        <v>11283.285808241644</v>
      </c>
      <c r="P68" s="90">
        <f t="shared" ca="1" si="38"/>
        <v>12739.368295257123</v>
      </c>
      <c r="Q68" s="90">
        <f t="shared" ca="1" si="38"/>
        <v>11154.181049671868</v>
      </c>
    </row>
    <row r="69" spans="1:17" s="3" customFormat="1">
      <c r="B69" s="111" t="s">
        <v>31</v>
      </c>
      <c r="F69" s="70">
        <v>3532.3</v>
      </c>
      <c r="G69" s="70">
        <v>6049.4000000000005</v>
      </c>
      <c r="H69" s="70">
        <v>6951.800000000002</v>
      </c>
      <c r="I69" s="70">
        <v>7268.300000000002</v>
      </c>
      <c r="J69" s="70">
        <v>7004.7000000000035</v>
      </c>
      <c r="K69" s="70">
        <v>12735.900000000005</v>
      </c>
      <c r="L69" s="96">
        <f ca="1">SUM(L67:L68)</f>
        <v>14413.021727011039</v>
      </c>
      <c r="M69" s="96">
        <f t="shared" ref="M69:Q69" ca="1" si="39">SUM(M67:M68)</f>
        <v>22446.790771635082</v>
      </c>
      <c r="N69" s="96">
        <f t="shared" ca="1" si="39"/>
        <v>31516.601877690384</v>
      </c>
      <c r="O69" s="96">
        <f t="shared" ca="1" si="39"/>
        <v>42799.88768593203</v>
      </c>
      <c r="P69" s="96">
        <f t="shared" ca="1" si="39"/>
        <v>55539.255981189155</v>
      </c>
      <c r="Q69" s="96">
        <f t="shared" ca="1" si="39"/>
        <v>66693.437030861023</v>
      </c>
    </row>
    <row r="70" spans="1:17" s="337" customFormat="1" ht="13"/>
    <row r="71" spans="1:17">
      <c r="P71" s="1"/>
      <c r="Q71" s="338" t="s">
        <v>395</v>
      </c>
    </row>
    <row r="72" spans="1:17">
      <c r="Q72" s="339" t="s">
        <v>396</v>
      </c>
    </row>
    <row r="74" spans="1:17" ht="24">
      <c r="A74" s="1" t="s">
        <v>25</v>
      </c>
      <c r="B74" s="135" t="s">
        <v>252</v>
      </c>
      <c r="C74" s="138"/>
      <c r="D74" s="138"/>
      <c r="E74" s="138"/>
      <c r="F74" s="138"/>
      <c r="G74" s="138"/>
      <c r="H74" s="138"/>
      <c r="I74" s="138"/>
      <c r="J74" s="138"/>
      <c r="K74" s="138"/>
      <c r="L74" s="138"/>
      <c r="M74" s="138"/>
      <c r="N74" s="138"/>
      <c r="O74" s="138"/>
      <c r="P74" s="138"/>
      <c r="Q74" s="138"/>
    </row>
    <row r="75" spans="1:17">
      <c r="B75" s="126"/>
      <c r="C75" s="127"/>
      <c r="D75" s="127"/>
      <c r="E75" s="127"/>
      <c r="F75" s="127"/>
      <c r="G75" s="127"/>
      <c r="H75" s="127"/>
      <c r="I75" s="127"/>
      <c r="J75" s="127"/>
      <c r="K75" s="127"/>
      <c r="L75" s="127"/>
      <c r="M75" s="127"/>
      <c r="N75" s="127"/>
      <c r="O75" s="127"/>
      <c r="P75" s="127"/>
      <c r="Q75" s="127"/>
    </row>
    <row r="76" spans="1:17">
      <c r="B76" s="116" t="s">
        <v>132</v>
      </c>
      <c r="L76" s="1"/>
      <c r="M76" s="1"/>
      <c r="N76" s="1"/>
      <c r="O76" s="1"/>
      <c r="P76" s="1"/>
      <c r="Q76" s="1"/>
    </row>
    <row r="77" spans="1:17">
      <c r="B77" s="115" t="str">
        <f>CONCATENATE("Running ", CHOOSE(Assumptions!$B$7,Assumptions!$B$13,Assumptions!$B$14,Assumptions!$B$15)," Model")</f>
        <v>Running Base Case Model</v>
      </c>
      <c r="L77" s="47" t="s">
        <v>86</v>
      </c>
      <c r="M77" s="47"/>
      <c r="N77" s="47"/>
      <c r="O77" s="47"/>
      <c r="P77" s="47"/>
      <c r="Q77" s="47"/>
    </row>
    <row r="78" spans="1:17" s="10" customFormat="1">
      <c r="B78" s="110"/>
      <c r="C78" s="1"/>
      <c r="D78" s="1"/>
      <c r="E78" s="1"/>
      <c r="F78" s="43" t="s">
        <v>38</v>
      </c>
      <c r="G78" s="43" t="s">
        <v>10</v>
      </c>
      <c r="H78" s="44" t="s">
        <v>11</v>
      </c>
      <c r="I78" s="44" t="s">
        <v>12</v>
      </c>
      <c r="J78" s="44" t="s">
        <v>13</v>
      </c>
      <c r="K78" s="44" t="s">
        <v>14</v>
      </c>
      <c r="L78" s="44" t="s">
        <v>15</v>
      </c>
      <c r="M78" s="44" t="s">
        <v>78</v>
      </c>
      <c r="N78" s="44" t="s">
        <v>79</v>
      </c>
      <c r="O78" s="44" t="s">
        <v>80</v>
      </c>
      <c r="P78" s="44" t="s">
        <v>81</v>
      </c>
      <c r="Q78" s="44" t="s">
        <v>295</v>
      </c>
    </row>
    <row r="79" spans="1:17" ht="19">
      <c r="B79" s="3" t="s">
        <v>406</v>
      </c>
      <c r="L79" s="1"/>
      <c r="M79" s="1"/>
      <c r="N79" s="1"/>
      <c r="O79" s="1"/>
      <c r="P79" s="1"/>
      <c r="Q79" s="1"/>
    </row>
    <row r="80" spans="1:17">
      <c r="B80" s="110" t="s">
        <v>218</v>
      </c>
      <c r="F80" s="53">
        <v>3532.3</v>
      </c>
      <c r="G80" s="53">
        <v>6049.4</v>
      </c>
      <c r="H80" s="53">
        <v>6951.8</v>
      </c>
      <c r="I80" s="53">
        <v>7268.3</v>
      </c>
      <c r="J80" s="53">
        <v>7004.7</v>
      </c>
      <c r="K80" s="53">
        <v>12735.9</v>
      </c>
      <c r="L80" s="90">
        <f ca="1">L69</f>
        <v>14413.021727011039</v>
      </c>
      <c r="M80" s="90">
        <f t="shared" ref="M80:Q80" ca="1" si="40">M69</f>
        <v>22446.790771635082</v>
      </c>
      <c r="N80" s="90">
        <f t="shared" ca="1" si="40"/>
        <v>31516.601877690384</v>
      </c>
      <c r="O80" s="90">
        <f t="shared" ca="1" si="40"/>
        <v>42799.88768593203</v>
      </c>
      <c r="P80" s="90">
        <f t="shared" ca="1" si="40"/>
        <v>55539.255981189155</v>
      </c>
      <c r="Q80" s="90">
        <f t="shared" ca="1" si="40"/>
        <v>66693.437030861023</v>
      </c>
    </row>
    <row r="81" spans="1:17">
      <c r="B81" s="110" t="s">
        <v>219</v>
      </c>
      <c r="F81" s="53">
        <v>1786.8</v>
      </c>
      <c r="G81" s="53">
        <v>1310.3</v>
      </c>
      <c r="H81" s="53">
        <v>3028</v>
      </c>
      <c r="I81" s="53">
        <v>5323.8</v>
      </c>
      <c r="J81" s="53">
        <v>4334.1000000000004</v>
      </c>
      <c r="K81" s="53">
        <v>4477.5</v>
      </c>
      <c r="L81" s="90">
        <f>L199</f>
        <v>5028.3359250604353</v>
      </c>
      <c r="M81" s="90">
        <f t="shared" ref="M81:Q81" si="41">M199</f>
        <v>5526.2533950216093</v>
      </c>
      <c r="N81" s="90">
        <f t="shared" si="41"/>
        <v>5737.3336547475647</v>
      </c>
      <c r="O81" s="90">
        <f t="shared" si="41"/>
        <v>6329.5078686227644</v>
      </c>
      <c r="P81" s="90">
        <f t="shared" si="41"/>
        <v>6996.1269658614983</v>
      </c>
      <c r="Q81" s="90">
        <f t="shared" si="41"/>
        <v>7267.1016068660638</v>
      </c>
    </row>
    <row r="82" spans="1:17">
      <c r="B82" s="110" t="s">
        <v>220</v>
      </c>
      <c r="F82" s="53">
        <v>564.5</v>
      </c>
      <c r="G82" s="53">
        <v>1710.5</v>
      </c>
      <c r="H82" s="53">
        <v>1185.5999999999999</v>
      </c>
      <c r="I82" s="53">
        <v>1356.7</v>
      </c>
      <c r="J82" s="53">
        <v>1379.2</v>
      </c>
      <c r="K82" s="53">
        <v>82.6</v>
      </c>
      <c r="L82" s="90">
        <f t="shared" ref="L82:Q82" si="42">L513</f>
        <v>492.29865684491983</v>
      </c>
      <c r="M82" s="90">
        <f t="shared" si="42"/>
        <v>872.88025857754008</v>
      </c>
      <c r="N82" s="90">
        <f t="shared" si="42"/>
        <v>1133.1056153741122</v>
      </c>
      <c r="O82" s="90">
        <f t="shared" si="42"/>
        <v>1261.4610329386544</v>
      </c>
      <c r="P82" s="90">
        <f t="shared" si="42"/>
        <v>1391.5966997139235</v>
      </c>
      <c r="Q82" s="90">
        <f t="shared" si="42"/>
        <v>1503.269760218574</v>
      </c>
    </row>
    <row r="83" spans="1:17">
      <c r="B83" s="110" t="s">
        <v>90</v>
      </c>
      <c r="F83" s="53">
        <v>231</v>
      </c>
      <c r="G83" s="53">
        <v>119.2</v>
      </c>
      <c r="H83" s="53">
        <v>164.6</v>
      </c>
      <c r="I83" s="53">
        <v>131.9</v>
      </c>
      <c r="J83" s="53">
        <v>240.1</v>
      </c>
      <c r="K83" s="53">
        <v>320.60000000000002</v>
      </c>
      <c r="L83" s="90">
        <f>L204</f>
        <v>333.69865684491981</v>
      </c>
      <c r="M83" s="90">
        <f t="shared" ref="M83:Q83" si="43">M204</f>
        <v>380.58160173262036</v>
      </c>
      <c r="N83" s="90">
        <f t="shared" si="43"/>
        <v>418.82535679657224</v>
      </c>
      <c r="O83" s="90">
        <f t="shared" si="43"/>
        <v>462.05407440946186</v>
      </c>
      <c r="P83" s="90">
        <f t="shared" si="43"/>
        <v>510.7172685078894</v>
      </c>
      <c r="Q83" s="90">
        <f t="shared" si="43"/>
        <v>530.49841730122262</v>
      </c>
    </row>
    <row r="84" spans="1:17">
      <c r="B84" s="110" t="s">
        <v>221</v>
      </c>
      <c r="F84" s="53">
        <v>3809.2</v>
      </c>
      <c r="G84" s="53">
        <v>4569.3999999999996</v>
      </c>
      <c r="H84" s="53">
        <v>5179.2</v>
      </c>
      <c r="I84" s="53">
        <v>7199.7</v>
      </c>
      <c r="J84" s="53">
        <v>8850.7000000000007</v>
      </c>
      <c r="K84" s="53">
        <v>10891.5</v>
      </c>
      <c r="L84" s="90">
        <f t="shared" ref="L84:Q84" si="44">L201</f>
        <v>12918.90866452802</v>
      </c>
      <c r="M84" s="90">
        <f t="shared" si="44"/>
        <v>13197.699762189441</v>
      </c>
      <c r="N84" s="90">
        <f t="shared" si="44"/>
        <v>13161.082437154622</v>
      </c>
      <c r="O84" s="90">
        <f t="shared" si="44"/>
        <v>13066.030620632748</v>
      </c>
      <c r="P84" s="90">
        <f t="shared" si="44"/>
        <v>13505.088828447979</v>
      </c>
      <c r="Q84" s="90">
        <f t="shared" si="44"/>
        <v>13215.020729068045</v>
      </c>
    </row>
    <row r="85" spans="1:17" s="25" customFormat="1">
      <c r="A85" s="167"/>
      <c r="B85" s="203" t="s">
        <v>217</v>
      </c>
      <c r="F85" s="170">
        <v>1982.5</v>
      </c>
      <c r="G85" s="170">
        <v>1898.4</v>
      </c>
      <c r="H85" s="170">
        <v>1118</v>
      </c>
      <c r="I85" s="170">
        <v>953.90000000000009</v>
      </c>
      <c r="J85" s="170">
        <v>1951.6000000000004</v>
      </c>
      <c r="K85" s="170">
        <v>1565.8</v>
      </c>
      <c r="L85" s="91">
        <f>K85</f>
        <v>1565.8</v>
      </c>
      <c r="M85" s="91">
        <f t="shared" ref="M85:Q85" si="45">L85</f>
        <v>1565.8</v>
      </c>
      <c r="N85" s="91">
        <f t="shared" si="45"/>
        <v>1565.8</v>
      </c>
      <c r="O85" s="91">
        <f t="shared" si="45"/>
        <v>1565.8</v>
      </c>
      <c r="P85" s="91">
        <f t="shared" si="45"/>
        <v>1565.8</v>
      </c>
      <c r="Q85" s="91">
        <f t="shared" si="45"/>
        <v>1565.8</v>
      </c>
    </row>
    <row r="86" spans="1:17" s="3" customFormat="1">
      <c r="A86" s="1"/>
      <c r="B86" s="111" t="s">
        <v>5</v>
      </c>
      <c r="F86" s="58">
        <f t="shared" ref="F86:K86" si="46">SUM(F80:F85)</f>
        <v>11906.3</v>
      </c>
      <c r="G86" s="58">
        <f t="shared" si="46"/>
        <v>15657.2</v>
      </c>
      <c r="H86" s="58">
        <f t="shared" si="46"/>
        <v>17627.2</v>
      </c>
      <c r="I86" s="58">
        <f t="shared" si="46"/>
        <v>22234.300000000003</v>
      </c>
      <c r="J86" s="58">
        <f t="shared" si="46"/>
        <v>23760.400000000001</v>
      </c>
      <c r="K86" s="58">
        <f t="shared" si="46"/>
        <v>30073.899999999998</v>
      </c>
      <c r="L86" s="92">
        <f ca="1">SUM(L80:L85)</f>
        <v>34752.06363028934</v>
      </c>
      <c r="M86" s="92">
        <f t="shared" ref="M86:Q86" ca="1" si="47">SUM(M80:M85)</f>
        <v>43990.005789156297</v>
      </c>
      <c r="N86" s="92">
        <f t="shared" ca="1" si="47"/>
        <v>53532.748941763261</v>
      </c>
      <c r="O86" s="92">
        <f t="shared" ca="1" si="47"/>
        <v>65484.741282535659</v>
      </c>
      <c r="P86" s="92">
        <f t="shared" ca="1" si="47"/>
        <v>79508.585743720454</v>
      </c>
      <c r="Q86" s="92">
        <f t="shared" ca="1" si="47"/>
        <v>90775.127544314935</v>
      </c>
    </row>
    <row r="87" spans="1:17">
      <c r="A87" s="3"/>
      <c r="B87" s="111"/>
      <c r="F87" s="192"/>
      <c r="G87" s="192"/>
      <c r="H87" s="192"/>
      <c r="I87" s="188"/>
      <c r="J87" s="188"/>
      <c r="K87" s="187"/>
    </row>
    <row r="88" spans="1:17">
      <c r="B88" s="110" t="s">
        <v>223</v>
      </c>
      <c r="F88" s="53">
        <v>1999.3</v>
      </c>
      <c r="G88" s="53">
        <v>2470.3000000000002</v>
      </c>
      <c r="H88" s="53">
        <v>2982.7</v>
      </c>
      <c r="I88" s="53">
        <v>3944.2</v>
      </c>
      <c r="J88" s="53">
        <v>5493.2</v>
      </c>
      <c r="K88" s="53">
        <v>6846.8</v>
      </c>
      <c r="L88" s="90">
        <f>L303</f>
        <v>7970.9872524087095</v>
      </c>
      <c r="M88" s="90">
        <f t="shared" ref="M88:Q88" si="48">M303</f>
        <v>8985.6862770388088</v>
      </c>
      <c r="N88" s="90">
        <f t="shared" si="48"/>
        <v>9788.261817108365</v>
      </c>
      <c r="O88" s="90">
        <f t="shared" si="48"/>
        <v>10365.052884725324</v>
      </c>
      <c r="P88" s="90">
        <f t="shared" si="48"/>
        <v>10698.774251375748</v>
      </c>
      <c r="Q88" s="90">
        <f t="shared" si="48"/>
        <v>10627.427865556674</v>
      </c>
    </row>
    <row r="89" spans="1:17">
      <c r="B89" s="110" t="s">
        <v>166</v>
      </c>
      <c r="F89" s="53">
        <v>2519.4</v>
      </c>
      <c r="G89" s="53">
        <v>2653.7</v>
      </c>
      <c r="H89" s="53">
        <v>2852.9</v>
      </c>
      <c r="I89" s="53">
        <v>3345.7</v>
      </c>
      <c r="J89" s="53">
        <v>3933.2</v>
      </c>
      <c r="K89" s="53">
        <v>4728.8999999999996</v>
      </c>
      <c r="L89" s="90">
        <f t="shared" ref="L89:Q89" si="49">L309</f>
        <v>5218.1946273796784</v>
      </c>
      <c r="M89" s="90">
        <f t="shared" si="49"/>
        <v>5584.4302334438498</v>
      </c>
      <c r="N89" s="90">
        <f t="shared" si="49"/>
        <v>5903.106303833566</v>
      </c>
      <c r="O89" s="90">
        <f t="shared" si="49"/>
        <v>6174.8414898572209</v>
      </c>
      <c r="P89" s="90">
        <f t="shared" si="49"/>
        <v>6390.076026873</v>
      </c>
      <c r="Q89" s="90">
        <f t="shared" si="49"/>
        <v>7160.8728614754455</v>
      </c>
    </row>
    <row r="90" spans="1:17" s="25" customFormat="1">
      <c r="B90" s="203" t="s">
        <v>215</v>
      </c>
      <c r="F90" s="167">
        <v>4562.7</v>
      </c>
      <c r="G90" s="167">
        <v>4650.6000000000004</v>
      </c>
      <c r="H90" s="167">
        <v>4577.1000000000004</v>
      </c>
      <c r="I90" s="167">
        <v>4577.1000000000004</v>
      </c>
      <c r="J90" s="167">
        <v>4610.1000000000004</v>
      </c>
      <c r="K90" s="167">
        <v>4610.1000000000004</v>
      </c>
      <c r="L90" s="90">
        <f>K90</f>
        <v>4610.1000000000004</v>
      </c>
      <c r="M90" s="90">
        <f t="shared" ref="M90:Q90" si="50">L90</f>
        <v>4610.1000000000004</v>
      </c>
      <c r="N90" s="90">
        <f t="shared" si="50"/>
        <v>4610.1000000000004</v>
      </c>
      <c r="O90" s="90">
        <f t="shared" si="50"/>
        <v>4610.1000000000004</v>
      </c>
      <c r="P90" s="90">
        <f t="shared" si="50"/>
        <v>4610.1000000000004</v>
      </c>
      <c r="Q90" s="90">
        <f t="shared" si="50"/>
        <v>4610.1000000000004</v>
      </c>
    </row>
    <row r="91" spans="1:17">
      <c r="B91" s="110" t="s">
        <v>222</v>
      </c>
      <c r="F91" s="53">
        <v>218.2</v>
      </c>
      <c r="G91" s="53">
        <v>405.5</v>
      </c>
      <c r="H91" s="53">
        <v>899.3</v>
      </c>
      <c r="I91" s="53">
        <v>1650.5</v>
      </c>
      <c r="J91" s="53">
        <v>1367.5000000000002</v>
      </c>
      <c r="K91" s="53">
        <v>1435.6999999999998</v>
      </c>
      <c r="L91" s="90">
        <f t="shared" ref="L91:Q91" ca="1" si="51">K91-L44</f>
        <v>1520.1318373581876</v>
      </c>
      <c r="M91" s="90">
        <f t="shared" ca="1" si="51"/>
        <v>1624.4162050934256</v>
      </c>
      <c r="N91" s="90">
        <f t="shared" ca="1" si="51"/>
        <v>1722.9541630036765</v>
      </c>
      <c r="O91" s="90">
        <f t="shared" ca="1" si="51"/>
        <v>1818.1577883413679</v>
      </c>
      <c r="P91" s="90">
        <f t="shared" ca="1" si="51"/>
        <v>1912.749264186707</v>
      </c>
      <c r="Q91" s="90">
        <f t="shared" ca="1" si="51"/>
        <v>1930.3253007841981</v>
      </c>
    </row>
    <row r="92" spans="1:17">
      <c r="B92" s="110" t="s">
        <v>220</v>
      </c>
      <c r="F92" s="53">
        <v>421.1</v>
      </c>
      <c r="G92" s="53">
        <v>400.5</v>
      </c>
      <c r="H92" s="53">
        <v>383</v>
      </c>
      <c r="I92" s="53">
        <v>0</v>
      </c>
      <c r="J92" s="53">
        <v>60.6</v>
      </c>
      <c r="K92" s="53">
        <v>317.2</v>
      </c>
      <c r="L92" s="90">
        <f t="shared" ref="L92:Q92" si="52">L521</f>
        <v>825.99731368983964</v>
      </c>
      <c r="M92" s="90">
        <f t="shared" si="52"/>
        <v>1094.8618603101604</v>
      </c>
      <c r="N92" s="90">
        <f t="shared" si="52"/>
        <v>1218.2323153257648</v>
      </c>
      <c r="O92" s="90">
        <f t="shared" si="52"/>
        <v>1342.933505615496</v>
      </c>
      <c r="P92" s="90">
        <f t="shared" si="52"/>
        <v>1483.4886114252404</v>
      </c>
      <c r="Q92" s="90">
        <f t="shared" si="52"/>
        <v>1571.7141031103347</v>
      </c>
    </row>
    <row r="93" spans="1:17">
      <c r="B93" s="110" t="s">
        <v>224</v>
      </c>
      <c r="F93" s="53">
        <v>0</v>
      </c>
      <c r="G93" s="53">
        <v>0</v>
      </c>
      <c r="H93" s="53">
        <v>0</v>
      </c>
      <c r="I93" s="53">
        <v>364.4</v>
      </c>
      <c r="J93" s="53">
        <v>929.2</v>
      </c>
      <c r="K93" s="53">
        <v>1456.7</v>
      </c>
      <c r="L93" s="90">
        <f t="shared" ref="L93:Q93" si="53">K93-L54</f>
        <v>1556.7</v>
      </c>
      <c r="M93" s="90">
        <f t="shared" si="53"/>
        <v>1656.7</v>
      </c>
      <c r="N93" s="90">
        <f t="shared" si="53"/>
        <v>1756.7</v>
      </c>
      <c r="O93" s="90">
        <f t="shared" si="53"/>
        <v>1856.7</v>
      </c>
      <c r="P93" s="90">
        <f t="shared" si="53"/>
        <v>1956.7</v>
      </c>
      <c r="Q93" s="90">
        <f t="shared" si="53"/>
        <v>2056.6999999999998</v>
      </c>
    </row>
    <row r="94" spans="1:17" s="25" customFormat="1">
      <c r="B94" s="203" t="s">
        <v>212</v>
      </c>
      <c r="F94" s="170">
        <v>1987.3000000000002</v>
      </c>
      <c r="G94" s="170">
        <v>2117</v>
      </c>
      <c r="H94" s="170">
        <v>2068.6999999999998</v>
      </c>
      <c r="I94" s="170">
        <v>1856.1000000000001</v>
      </c>
      <c r="J94" s="170">
        <v>1878.2000000000003</v>
      </c>
      <c r="K94" s="170">
        <v>2081</v>
      </c>
      <c r="L94" s="91">
        <f>K94</f>
        <v>2081</v>
      </c>
      <c r="M94" s="91">
        <f t="shared" ref="M94:Q94" si="54">L94</f>
        <v>2081</v>
      </c>
      <c r="N94" s="91">
        <f t="shared" si="54"/>
        <v>2081</v>
      </c>
      <c r="O94" s="91">
        <f t="shared" si="54"/>
        <v>2081</v>
      </c>
      <c r="P94" s="91">
        <f t="shared" si="54"/>
        <v>2081</v>
      </c>
      <c r="Q94" s="91">
        <f t="shared" si="54"/>
        <v>2081</v>
      </c>
    </row>
    <row r="95" spans="1:17" s="3" customFormat="1">
      <c r="A95" s="1"/>
      <c r="B95" s="111" t="s">
        <v>32</v>
      </c>
      <c r="F95" s="58">
        <f t="shared" ref="F95:Q95" si="55">SUM(F88:F94)</f>
        <v>11708</v>
      </c>
      <c r="G95" s="58">
        <f t="shared" si="55"/>
        <v>12697.6</v>
      </c>
      <c r="H95" s="58">
        <f t="shared" si="55"/>
        <v>13763.7</v>
      </c>
      <c r="I95" s="58">
        <f t="shared" si="55"/>
        <v>15738</v>
      </c>
      <c r="J95" s="58">
        <f t="shared" si="55"/>
        <v>18272</v>
      </c>
      <c r="K95" s="58">
        <f t="shared" si="55"/>
        <v>21476.400000000001</v>
      </c>
      <c r="L95" s="92">
        <f t="shared" ca="1" si="55"/>
        <v>23783.111030836419</v>
      </c>
      <c r="M95" s="92">
        <f t="shared" ca="1" si="55"/>
        <v>25637.194575886242</v>
      </c>
      <c r="N95" s="92">
        <f t="shared" ca="1" si="55"/>
        <v>27080.35459927137</v>
      </c>
      <c r="O95" s="92">
        <f t="shared" ca="1" si="55"/>
        <v>28248.785668539407</v>
      </c>
      <c r="P95" s="92">
        <f t="shared" ca="1" si="55"/>
        <v>29132.888153860695</v>
      </c>
      <c r="Q95" s="92">
        <f t="shared" ca="1" si="55"/>
        <v>30038.140130926651</v>
      </c>
    </row>
    <row r="96" spans="1:17">
      <c r="A96" s="3"/>
      <c r="F96" s="62"/>
      <c r="G96" s="62"/>
      <c r="H96" s="62"/>
      <c r="I96" s="62"/>
      <c r="J96" s="62"/>
      <c r="K96" s="62"/>
      <c r="L96" s="62"/>
      <c r="M96" s="62"/>
      <c r="N96" s="62"/>
      <c r="O96" s="62"/>
      <c r="P96" s="62"/>
      <c r="Q96" s="62"/>
    </row>
    <row r="97" spans="1:17" s="3" customFormat="1">
      <c r="A97" s="1"/>
      <c r="B97" s="111" t="s">
        <v>6</v>
      </c>
      <c r="F97" s="68">
        <f t="shared" ref="F97:K97" si="56">F86+F95</f>
        <v>23614.3</v>
      </c>
      <c r="G97" s="68">
        <f t="shared" si="56"/>
        <v>28354.800000000003</v>
      </c>
      <c r="H97" s="68">
        <f t="shared" si="56"/>
        <v>31390.9</v>
      </c>
      <c r="I97" s="68">
        <f t="shared" si="56"/>
        <v>37972.300000000003</v>
      </c>
      <c r="J97" s="68">
        <f t="shared" si="56"/>
        <v>42032.4</v>
      </c>
      <c r="K97" s="68">
        <f t="shared" si="56"/>
        <v>51550.3</v>
      </c>
      <c r="L97" s="94">
        <f t="shared" ref="L97:Q97" ca="1" si="57">L95+L86</f>
        <v>58535.174661125755</v>
      </c>
      <c r="M97" s="94">
        <f t="shared" ca="1" si="57"/>
        <v>69627.200365042547</v>
      </c>
      <c r="N97" s="94">
        <f t="shared" ca="1" si="57"/>
        <v>80613.103541034623</v>
      </c>
      <c r="O97" s="94">
        <f t="shared" ca="1" si="57"/>
        <v>93733.526951075066</v>
      </c>
      <c r="P97" s="94">
        <f t="shared" ca="1" si="57"/>
        <v>108641.47389758115</v>
      </c>
      <c r="Q97" s="94">
        <f t="shared" ca="1" si="57"/>
        <v>120813.26767524159</v>
      </c>
    </row>
    <row r="98" spans="1:17" s="3" customFormat="1">
      <c r="A98" s="1"/>
      <c r="B98" s="111"/>
      <c r="F98" s="191"/>
      <c r="G98" s="189"/>
      <c r="H98" s="190"/>
      <c r="I98" s="188"/>
      <c r="J98" s="188"/>
      <c r="K98" s="187"/>
      <c r="L98" s="123"/>
      <c r="M98" s="123"/>
      <c r="N98" s="123"/>
      <c r="O98" s="123"/>
      <c r="P98" s="123"/>
      <c r="Q98" s="123"/>
    </row>
    <row r="99" spans="1:17" ht="19">
      <c r="B99" s="3" t="s">
        <v>407</v>
      </c>
    </row>
    <row r="100" spans="1:17">
      <c r="B100" s="110" t="s">
        <v>226</v>
      </c>
      <c r="F100" s="53">
        <v>1062.2</v>
      </c>
      <c r="G100" s="53">
        <v>1378.1</v>
      </c>
      <c r="H100" s="53">
        <v>2115.5</v>
      </c>
      <c r="I100" s="53">
        <v>2563.5</v>
      </c>
      <c r="J100" s="53">
        <v>2346.3000000000002</v>
      </c>
      <c r="K100" s="53">
        <v>3498.5</v>
      </c>
      <c r="L100" s="90">
        <f>-L200</f>
        <v>3129.1474273943304</v>
      </c>
      <c r="M100" s="90">
        <f t="shared" ref="M100:Q100" si="58">-M200</f>
        <v>3666.0277117192891</v>
      </c>
      <c r="N100" s="90">
        <f t="shared" si="58"/>
        <v>3948.324731146387</v>
      </c>
      <c r="O100" s="90">
        <f t="shared" si="58"/>
        <v>4260.6621589019833</v>
      </c>
      <c r="P100" s="90">
        <f t="shared" si="58"/>
        <v>4604.0075551527198</v>
      </c>
      <c r="Q100" s="90">
        <f t="shared" si="58"/>
        <v>4405.0069096893485</v>
      </c>
    </row>
    <row r="101" spans="1:17">
      <c r="B101" s="110" t="s">
        <v>227</v>
      </c>
      <c r="F101" s="53">
        <v>0</v>
      </c>
      <c r="G101" s="53">
        <v>15.4</v>
      </c>
      <c r="H101" s="53">
        <v>509.1</v>
      </c>
      <c r="I101" s="53">
        <v>746.2</v>
      </c>
      <c r="J101" s="53">
        <v>0.1</v>
      </c>
      <c r="K101" s="53">
        <v>1010.3</v>
      </c>
      <c r="L101" s="90">
        <f ca="1">L430</f>
        <v>0</v>
      </c>
      <c r="M101" s="90">
        <f t="shared" ref="M101:Q101" ca="1" si="59">M430</f>
        <v>0</v>
      </c>
      <c r="N101" s="90">
        <f t="shared" ca="1" si="59"/>
        <v>0</v>
      </c>
      <c r="O101" s="90">
        <f t="shared" ca="1" si="59"/>
        <v>0</v>
      </c>
      <c r="P101" s="90">
        <f t="shared" ca="1" si="59"/>
        <v>0</v>
      </c>
      <c r="Q101" s="90">
        <f t="shared" ca="1" si="59"/>
        <v>0</v>
      </c>
    </row>
    <row r="102" spans="1:17">
      <c r="B102" s="110" t="s">
        <v>225</v>
      </c>
      <c r="F102" s="53">
        <v>2526.4</v>
      </c>
      <c r="G102" s="53">
        <v>3954.2</v>
      </c>
      <c r="H102" s="53">
        <v>7935.2</v>
      </c>
      <c r="I102" s="53">
        <v>12481</v>
      </c>
      <c r="J102" s="53">
        <v>11441</v>
      </c>
      <c r="K102" s="53">
        <v>12570.8</v>
      </c>
      <c r="L102" s="90">
        <f>-L205</f>
        <v>14015.343587486632</v>
      </c>
      <c r="M102" s="90">
        <f t="shared" ref="M102:Q102" si="60">-M205</f>
        <v>15603.845671037432</v>
      </c>
      <c r="N102" s="90">
        <f t="shared" si="60"/>
        <v>16753.014271862889</v>
      </c>
      <c r="O102" s="90">
        <f t="shared" si="60"/>
        <v>18482.162976378473</v>
      </c>
      <c r="P102" s="90">
        <f t="shared" si="60"/>
        <v>20428.690740315578</v>
      </c>
      <c r="Q102" s="90">
        <f t="shared" si="60"/>
        <v>20158.939857446461</v>
      </c>
    </row>
    <row r="103" spans="1:17" s="25" customFormat="1">
      <c r="B103" s="203" t="s">
        <v>213</v>
      </c>
      <c r="F103" s="170">
        <v>1039.9000000000001</v>
      </c>
      <c r="G103" s="170">
        <v>1146</v>
      </c>
      <c r="H103" s="170">
        <v>1435.5</v>
      </c>
      <c r="I103" s="170">
        <v>1656.6</v>
      </c>
      <c r="J103" s="170">
        <v>2177.4</v>
      </c>
      <c r="K103" s="170">
        <v>2686.6000000000004</v>
      </c>
      <c r="L103" s="91">
        <f>K103</f>
        <v>2686.6000000000004</v>
      </c>
      <c r="M103" s="91">
        <f t="shared" ref="M103:Q103" si="61">L103</f>
        <v>2686.6000000000004</v>
      </c>
      <c r="N103" s="91">
        <f t="shared" si="61"/>
        <v>2686.6000000000004</v>
      </c>
      <c r="O103" s="91">
        <f t="shared" si="61"/>
        <v>2686.6000000000004</v>
      </c>
      <c r="P103" s="91">
        <f t="shared" si="61"/>
        <v>2686.6000000000004</v>
      </c>
      <c r="Q103" s="91">
        <f t="shared" si="61"/>
        <v>2686.6000000000004</v>
      </c>
    </row>
    <row r="104" spans="1:17" s="3" customFormat="1">
      <c r="A104" s="1"/>
      <c r="B104" s="111" t="s">
        <v>7</v>
      </c>
      <c r="F104" s="58">
        <f t="shared" ref="F104:K104" si="62">SUM(F100:F103)</f>
        <v>4628.5</v>
      </c>
      <c r="G104" s="58">
        <f t="shared" si="62"/>
        <v>6493.7</v>
      </c>
      <c r="H104" s="58">
        <f t="shared" si="62"/>
        <v>11995.3</v>
      </c>
      <c r="I104" s="58">
        <f t="shared" si="62"/>
        <v>17447.3</v>
      </c>
      <c r="J104" s="58">
        <f t="shared" si="62"/>
        <v>15964.8</v>
      </c>
      <c r="K104" s="58">
        <f t="shared" si="62"/>
        <v>19766.199999999997</v>
      </c>
      <c r="L104" s="92">
        <f ca="1">SUM(L100:L103)</f>
        <v>19831.091014880963</v>
      </c>
      <c r="M104" s="92">
        <f t="shared" ref="M104:Q104" ca="1" si="63">SUM(M100:M103)</f>
        <v>21956.473382756718</v>
      </c>
      <c r="N104" s="92">
        <f t="shared" ca="1" si="63"/>
        <v>23387.939003009276</v>
      </c>
      <c r="O104" s="92">
        <f t="shared" ca="1" si="63"/>
        <v>25429.425135280457</v>
      </c>
      <c r="P104" s="92">
        <f t="shared" ca="1" si="63"/>
        <v>27719.298295468296</v>
      </c>
      <c r="Q104" s="92">
        <f t="shared" ca="1" si="63"/>
        <v>27250.546767135813</v>
      </c>
    </row>
    <row r="105" spans="1:17">
      <c r="A105" s="3"/>
    </row>
    <row r="106" spans="1:17">
      <c r="B106" s="110" t="s">
        <v>34</v>
      </c>
      <c r="F106" s="53">
        <v>3108.3</v>
      </c>
      <c r="G106" s="53">
        <v>4662.8</v>
      </c>
      <c r="H106" s="53">
        <v>4075</v>
      </c>
      <c r="I106" s="53">
        <v>3514.2</v>
      </c>
      <c r="J106" s="53">
        <v>4631.5</v>
      </c>
      <c r="K106" s="53">
        <v>3677.3</v>
      </c>
      <c r="L106" s="90">
        <f>L412</f>
        <v>3597.3</v>
      </c>
      <c r="M106" s="90">
        <f t="shared" ref="M106:Q106" si="64">M412</f>
        <v>3517.3</v>
      </c>
      <c r="N106" s="90">
        <f t="shared" si="64"/>
        <v>3437.3</v>
      </c>
      <c r="O106" s="90">
        <f t="shared" si="64"/>
        <v>3357.3</v>
      </c>
      <c r="P106" s="90">
        <f t="shared" si="64"/>
        <v>3277.3</v>
      </c>
      <c r="Q106" s="90">
        <f t="shared" si="64"/>
        <v>3277.3</v>
      </c>
    </row>
    <row r="107" spans="1:17">
      <c r="B107" s="110" t="s">
        <v>225</v>
      </c>
      <c r="F107" s="53">
        <v>1759.6</v>
      </c>
      <c r="G107" s="53">
        <v>1639.9</v>
      </c>
      <c r="H107" s="53">
        <v>3225.7</v>
      </c>
      <c r="I107" s="53">
        <v>5269.9</v>
      </c>
      <c r="J107" s="53">
        <v>4825.5</v>
      </c>
      <c r="K107" s="53">
        <v>5625.4</v>
      </c>
      <c r="L107" s="90">
        <f>-L206</f>
        <v>6340.2744800534765</v>
      </c>
      <c r="M107" s="90">
        <f t="shared" ref="M107:Q107" si="65">-M206</f>
        <v>7611.6320346524071</v>
      </c>
      <c r="N107" s="90">
        <f t="shared" si="65"/>
        <v>8376.5071359314443</v>
      </c>
      <c r="O107" s="90">
        <f t="shared" si="65"/>
        <v>9241.0814881892366</v>
      </c>
      <c r="P107" s="90">
        <f t="shared" si="65"/>
        <v>10214.345370157789</v>
      </c>
      <c r="Q107" s="90">
        <f t="shared" si="65"/>
        <v>9548.9715114220071</v>
      </c>
    </row>
    <row r="108" spans="1:17" s="25" customFormat="1">
      <c r="B108" s="203" t="s">
        <v>214</v>
      </c>
      <c r="F108" s="170">
        <v>241</v>
      </c>
      <c r="G108" s="170">
        <v>257.5</v>
      </c>
      <c r="H108" s="170">
        <v>251.1</v>
      </c>
      <c r="I108" s="170">
        <v>454.9</v>
      </c>
      <c r="J108" s="170">
        <v>401.09999999999997</v>
      </c>
      <c r="K108" s="170">
        <v>459.5</v>
      </c>
      <c r="L108" s="91">
        <f>K108</f>
        <v>459.5</v>
      </c>
      <c r="M108" s="91">
        <f t="shared" ref="M108:Q108" si="66">L108</f>
        <v>459.5</v>
      </c>
      <c r="N108" s="91">
        <f t="shared" si="66"/>
        <v>459.5</v>
      </c>
      <c r="O108" s="91">
        <f t="shared" si="66"/>
        <v>459.5</v>
      </c>
      <c r="P108" s="91">
        <f t="shared" si="66"/>
        <v>459.5</v>
      </c>
      <c r="Q108" s="91">
        <f t="shared" si="66"/>
        <v>459.5</v>
      </c>
    </row>
    <row r="109" spans="1:17" s="3" customFormat="1">
      <c r="A109" s="1"/>
      <c r="B109" s="111" t="s">
        <v>46</v>
      </c>
      <c r="F109" s="58">
        <f t="shared" ref="F109:K109" si="67">SUM(F106:F108)</f>
        <v>5108.8999999999996</v>
      </c>
      <c r="G109" s="58">
        <f t="shared" si="67"/>
        <v>6560.2000000000007</v>
      </c>
      <c r="H109" s="58">
        <f t="shared" si="67"/>
        <v>7551.8</v>
      </c>
      <c r="I109" s="58">
        <f t="shared" si="67"/>
        <v>9238.9999999999982</v>
      </c>
      <c r="J109" s="58">
        <f t="shared" si="67"/>
        <v>9858.1</v>
      </c>
      <c r="K109" s="58">
        <f t="shared" si="67"/>
        <v>9762.2000000000007</v>
      </c>
      <c r="L109" s="92">
        <f t="shared" ref="L109:Q109" si="68">SUM(L106:L108)</f>
        <v>10397.074480053478</v>
      </c>
      <c r="M109" s="92">
        <f t="shared" si="68"/>
        <v>11588.432034652407</v>
      </c>
      <c r="N109" s="92">
        <f t="shared" si="68"/>
        <v>12273.307135931445</v>
      </c>
      <c r="O109" s="92">
        <f t="shared" si="68"/>
        <v>13057.881488189236</v>
      </c>
      <c r="P109" s="92">
        <f t="shared" si="68"/>
        <v>13951.145370157788</v>
      </c>
      <c r="Q109" s="92">
        <f t="shared" si="68"/>
        <v>13285.771511422008</v>
      </c>
    </row>
    <row r="110" spans="1:17">
      <c r="A110" s="3"/>
      <c r="F110" s="62"/>
      <c r="G110" s="62"/>
      <c r="H110" s="62"/>
      <c r="I110" s="62"/>
      <c r="J110" s="62"/>
      <c r="K110" s="62"/>
      <c r="L110" s="62"/>
      <c r="M110" s="62"/>
      <c r="N110" s="62"/>
      <c r="O110" s="62"/>
      <c r="P110" s="62"/>
      <c r="Q110" s="62"/>
    </row>
    <row r="111" spans="1:17" s="3" customFormat="1">
      <c r="A111" s="1"/>
      <c r="B111" s="111" t="s">
        <v>8</v>
      </c>
      <c r="F111" s="68">
        <f t="shared" ref="F111:K111" si="69">F109+F104</f>
        <v>9737.4</v>
      </c>
      <c r="G111" s="68">
        <f t="shared" si="69"/>
        <v>13053.900000000001</v>
      </c>
      <c r="H111" s="68">
        <f t="shared" si="69"/>
        <v>19547.099999999999</v>
      </c>
      <c r="I111" s="68">
        <f t="shared" si="69"/>
        <v>26686.299999999996</v>
      </c>
      <c r="J111" s="68">
        <f t="shared" si="69"/>
        <v>25822.9</v>
      </c>
      <c r="K111" s="68">
        <f t="shared" si="69"/>
        <v>29528.399999999998</v>
      </c>
      <c r="L111" s="94">
        <f t="shared" ref="L111:Q111" ca="1" si="70">L109+L104</f>
        <v>30228.165494934441</v>
      </c>
      <c r="M111" s="94">
        <f t="shared" ca="1" si="70"/>
        <v>33544.905417409129</v>
      </c>
      <c r="N111" s="94">
        <f t="shared" ca="1" si="70"/>
        <v>35661.246138940725</v>
      </c>
      <c r="O111" s="94">
        <f t="shared" ca="1" si="70"/>
        <v>38487.306623469689</v>
      </c>
      <c r="P111" s="94">
        <f t="shared" ca="1" si="70"/>
        <v>41670.44366562608</v>
      </c>
      <c r="Q111" s="94">
        <f t="shared" ca="1" si="70"/>
        <v>40536.318278557825</v>
      </c>
    </row>
    <row r="112" spans="1:17" s="3" customFormat="1">
      <c r="A112" s="1"/>
      <c r="B112" s="111"/>
      <c r="F112" s="58"/>
      <c r="G112" s="58"/>
      <c r="H112" s="58"/>
      <c r="I112" s="58"/>
      <c r="J112" s="58"/>
      <c r="K112" s="58"/>
      <c r="L112" s="123"/>
      <c r="M112" s="123"/>
      <c r="N112" s="123"/>
      <c r="O112" s="123"/>
      <c r="P112" s="123"/>
      <c r="Q112" s="123"/>
    </row>
    <row r="113" spans="1:17">
      <c r="B113" s="3" t="s">
        <v>354</v>
      </c>
    </row>
    <row r="114" spans="1:17">
      <c r="B114" s="110" t="s">
        <v>36</v>
      </c>
      <c r="F114" s="53">
        <v>7362</v>
      </c>
      <c r="G114" s="53">
        <v>8743.4000000000015</v>
      </c>
      <c r="H114" s="53">
        <v>10180.799999999999</v>
      </c>
      <c r="I114" s="53">
        <v>8984.1</v>
      </c>
      <c r="J114" s="53">
        <v>12706.7</v>
      </c>
      <c r="K114" s="53">
        <v>16855.300000000003</v>
      </c>
      <c r="L114" s="90">
        <f>L536</f>
        <v>16055.300000000003</v>
      </c>
      <c r="M114" s="90">
        <f t="shared" ref="M114:Q114" si="71">M536</f>
        <v>15255.300000000003</v>
      </c>
      <c r="N114" s="90">
        <f t="shared" si="71"/>
        <v>14455.300000000003</v>
      </c>
      <c r="O114" s="90">
        <f t="shared" si="71"/>
        <v>13655.300000000003</v>
      </c>
      <c r="P114" s="90">
        <f t="shared" si="71"/>
        <v>12855.300000000003</v>
      </c>
      <c r="Q114" s="90">
        <f t="shared" si="71"/>
        <v>12855.300000000003</v>
      </c>
    </row>
    <row r="115" spans="1:17" s="3" customFormat="1">
      <c r="A115" s="1"/>
      <c r="B115" s="110" t="s">
        <v>9</v>
      </c>
      <c r="F115" s="62">
        <v>6514.9</v>
      </c>
      <c r="G115" s="62">
        <v>6557.5</v>
      </c>
      <c r="H115" s="62">
        <v>1663</v>
      </c>
      <c r="I115" s="62">
        <v>2301.9</v>
      </c>
      <c r="J115" s="62">
        <v>3502.8</v>
      </c>
      <c r="K115" s="62">
        <v>5166.6000000000004</v>
      </c>
      <c r="L115" s="96">
        <f ca="1">L548</f>
        <v>12251.7091661913</v>
      </c>
      <c r="M115" s="96">
        <f t="shared" ref="M115:Q115" ca="1" si="72">M548</f>
        <v>20826.994947633397</v>
      </c>
      <c r="N115" s="96">
        <f t="shared" ca="1" si="72"/>
        <v>30496.557402093902</v>
      </c>
      <c r="O115" s="96">
        <f t="shared" ca="1" si="72"/>
        <v>41590.920327605359</v>
      </c>
      <c r="P115" s="96">
        <f t="shared" ca="1" si="72"/>
        <v>54115.730231955036</v>
      </c>
      <c r="Q115" s="96">
        <f t="shared" ca="1" si="72"/>
        <v>67421.649396683744</v>
      </c>
    </row>
    <row r="116" spans="1:17" s="3" customFormat="1">
      <c r="B116" s="111" t="s">
        <v>37</v>
      </c>
      <c r="F116" s="58">
        <v>13876.9</v>
      </c>
      <c r="G116" s="58">
        <v>15300.9</v>
      </c>
      <c r="H116" s="58">
        <v>11843.8</v>
      </c>
      <c r="I116" s="58">
        <v>11286</v>
      </c>
      <c r="J116" s="58">
        <v>16209.5</v>
      </c>
      <c r="K116" s="58">
        <v>22021.9</v>
      </c>
      <c r="L116" s="92">
        <f ca="1">SUM(L114:L115)</f>
        <v>28307.009166191303</v>
      </c>
      <c r="M116" s="92">
        <f t="shared" ref="M116:Q116" ca="1" si="73">SUM(M114:M115)</f>
        <v>36082.294947633403</v>
      </c>
      <c r="N116" s="92">
        <f t="shared" ca="1" si="73"/>
        <v>44951.857402093905</v>
      </c>
      <c r="O116" s="92">
        <f t="shared" ca="1" si="73"/>
        <v>55246.220327605362</v>
      </c>
      <c r="P116" s="92">
        <f t="shared" ca="1" si="73"/>
        <v>66971.030231955039</v>
      </c>
      <c r="Q116" s="92">
        <f t="shared" ca="1" si="73"/>
        <v>80276.949396683747</v>
      </c>
    </row>
    <row r="118" spans="1:17" s="3" customFormat="1">
      <c r="A118" s="1"/>
      <c r="B118" s="3" t="s">
        <v>362</v>
      </c>
      <c r="F118" s="68">
        <f t="shared" ref="F118:K118" si="74">F116+F111</f>
        <v>23614.3</v>
      </c>
      <c r="G118" s="68">
        <f t="shared" si="74"/>
        <v>28354.800000000003</v>
      </c>
      <c r="H118" s="68">
        <f t="shared" si="74"/>
        <v>31390.899999999998</v>
      </c>
      <c r="I118" s="68">
        <f t="shared" si="74"/>
        <v>37972.299999999996</v>
      </c>
      <c r="J118" s="68">
        <f t="shared" si="74"/>
        <v>42032.4</v>
      </c>
      <c r="K118" s="68">
        <f t="shared" si="74"/>
        <v>51550.3</v>
      </c>
      <c r="L118" s="94">
        <f ca="1">L116+L111</f>
        <v>58535.17466112574</v>
      </c>
      <c r="M118" s="94">
        <f t="shared" ref="M118:Q118" ca="1" si="75">M116+M111</f>
        <v>69627.200365042532</v>
      </c>
      <c r="N118" s="94">
        <f t="shared" ca="1" si="75"/>
        <v>80613.103541034623</v>
      </c>
      <c r="O118" s="94">
        <f t="shared" ca="1" si="75"/>
        <v>93733.526951075051</v>
      </c>
      <c r="P118" s="94">
        <f t="shared" ca="1" si="75"/>
        <v>108641.47389758112</v>
      </c>
      <c r="Q118" s="94">
        <f t="shared" ca="1" si="75"/>
        <v>120813.26767524157</v>
      </c>
    </row>
    <row r="119" spans="1:17" s="3" customFormat="1">
      <c r="A119" s="1"/>
      <c r="B119" s="112"/>
      <c r="F119" s="58"/>
      <c r="G119" s="58"/>
      <c r="H119" s="58"/>
      <c r="I119" s="58"/>
      <c r="J119" s="58"/>
      <c r="K119" s="58"/>
      <c r="L119" s="123"/>
      <c r="M119" s="123"/>
      <c r="N119" s="123"/>
      <c r="O119" s="123"/>
      <c r="P119" s="123"/>
      <c r="Q119" s="123"/>
    </row>
    <row r="120" spans="1:17">
      <c r="B120" s="110" t="s">
        <v>300</v>
      </c>
      <c r="F120" s="226">
        <f t="shared" ref="F120:K120" si="76">F97-F118</f>
        <v>0</v>
      </c>
      <c r="G120" s="226">
        <f t="shared" si="76"/>
        <v>0</v>
      </c>
      <c r="H120" s="226">
        <f t="shared" si="76"/>
        <v>0</v>
      </c>
      <c r="I120" s="226">
        <f t="shared" si="76"/>
        <v>0</v>
      </c>
      <c r="J120" s="226">
        <f t="shared" si="76"/>
        <v>0</v>
      </c>
      <c r="K120" s="226">
        <f t="shared" si="76"/>
        <v>0</v>
      </c>
      <c r="L120" s="226">
        <f ca="1">L97-L118</f>
        <v>0</v>
      </c>
      <c r="M120" s="226">
        <f t="shared" ref="M120:Q120" ca="1" si="77">M97-M118</f>
        <v>0</v>
      </c>
      <c r="N120" s="226">
        <f t="shared" ca="1" si="77"/>
        <v>0</v>
      </c>
      <c r="O120" s="226">
        <f t="shared" ca="1" si="77"/>
        <v>0</v>
      </c>
      <c r="P120" s="226">
        <f t="shared" ca="1" si="77"/>
        <v>0</v>
      </c>
      <c r="Q120" s="226">
        <f t="shared" ca="1" si="77"/>
        <v>0</v>
      </c>
    </row>
    <row r="121" spans="1:17">
      <c r="F121" s="226"/>
      <c r="G121" s="226"/>
      <c r="H121" s="226"/>
      <c r="I121" s="226"/>
      <c r="J121" s="226"/>
      <c r="K121" s="226"/>
      <c r="L121" s="226"/>
      <c r="M121" s="226"/>
      <c r="N121" s="226"/>
      <c r="O121" s="226"/>
      <c r="P121" s="226"/>
      <c r="Q121" s="226"/>
    </row>
    <row r="122" spans="1:17">
      <c r="F122" s="226"/>
      <c r="G122" s="226"/>
      <c r="H122" s="226"/>
      <c r="I122" s="226"/>
      <c r="J122" s="226"/>
      <c r="K122" s="226"/>
      <c r="L122" s="226"/>
      <c r="M122" s="226"/>
      <c r="N122" s="226"/>
      <c r="O122" s="226"/>
      <c r="P122" s="226"/>
      <c r="Q122" s="338" t="s">
        <v>398</v>
      </c>
    </row>
    <row r="123" spans="1:17">
      <c r="F123" s="226"/>
      <c r="G123" s="226"/>
      <c r="H123" s="226"/>
      <c r="I123" s="226"/>
      <c r="J123" s="226"/>
      <c r="K123" s="226"/>
      <c r="L123" s="226"/>
      <c r="M123" s="226"/>
      <c r="N123" s="226"/>
      <c r="O123" s="226"/>
      <c r="P123" s="226"/>
      <c r="Q123" s="339" t="s">
        <v>399</v>
      </c>
    </row>
    <row r="124" spans="1:17">
      <c r="F124" s="226"/>
      <c r="G124" s="226"/>
      <c r="H124" s="226"/>
      <c r="I124" s="226"/>
      <c r="J124" s="226"/>
      <c r="K124" s="226"/>
      <c r="L124" s="226"/>
      <c r="M124" s="226"/>
      <c r="N124" s="226"/>
      <c r="O124" s="226"/>
      <c r="P124" s="226"/>
      <c r="Q124" s="340" t="s">
        <v>400</v>
      </c>
    </row>
    <row r="125" spans="1:17">
      <c r="F125" s="226"/>
      <c r="G125" s="226"/>
      <c r="H125" s="226"/>
      <c r="I125" s="226"/>
      <c r="J125" s="226"/>
      <c r="K125" s="226"/>
      <c r="L125" s="226"/>
      <c r="M125" s="226"/>
      <c r="N125" s="226"/>
      <c r="O125" s="226"/>
      <c r="P125" s="226"/>
      <c r="Q125" s="341" t="s">
        <v>401</v>
      </c>
    </row>
    <row r="126" spans="1:17">
      <c r="A126" s="3"/>
      <c r="F126" s="1"/>
      <c r="G126" s="1"/>
      <c r="H126" s="1"/>
      <c r="I126" s="1"/>
      <c r="J126" s="1"/>
      <c r="K126" s="1"/>
      <c r="L126" s="1"/>
      <c r="M126" s="1"/>
      <c r="N126" s="1"/>
      <c r="O126" s="1"/>
      <c r="P126" s="1"/>
      <c r="Q126" s="1"/>
    </row>
    <row r="127" spans="1:17" ht="24">
      <c r="A127" s="80" t="s">
        <v>25</v>
      </c>
      <c r="B127" s="139" t="s">
        <v>253</v>
      </c>
      <c r="C127" s="140"/>
      <c r="D127" s="140"/>
      <c r="E127" s="140"/>
      <c r="F127" s="140"/>
      <c r="G127" s="140"/>
      <c r="H127" s="140"/>
      <c r="I127" s="140"/>
      <c r="J127" s="140"/>
      <c r="K127" s="140"/>
      <c r="L127" s="140"/>
      <c r="M127" s="140"/>
      <c r="N127" s="140"/>
      <c r="O127" s="140"/>
      <c r="P127" s="140"/>
      <c r="Q127" s="140"/>
    </row>
    <row r="128" spans="1:17">
      <c r="A128" s="80"/>
      <c r="B128" s="126"/>
      <c r="C128" s="127"/>
      <c r="D128" s="127"/>
      <c r="E128" s="127"/>
      <c r="F128" s="127"/>
      <c r="G128" s="127"/>
      <c r="H128" s="127"/>
      <c r="I128" s="127"/>
      <c r="J128" s="127"/>
      <c r="K128" s="127"/>
      <c r="L128" s="127"/>
      <c r="M128" s="127"/>
      <c r="N128" s="127"/>
      <c r="O128" s="127"/>
      <c r="P128" s="127"/>
      <c r="Q128" s="127"/>
    </row>
    <row r="129" spans="1:17">
      <c r="A129" s="80"/>
      <c r="B129" s="116" t="s">
        <v>132</v>
      </c>
      <c r="C129" s="71"/>
      <c r="D129" s="71"/>
      <c r="E129" s="71"/>
      <c r="F129" s="80"/>
      <c r="G129" s="80"/>
      <c r="H129" s="80"/>
      <c r="I129" s="80"/>
      <c r="J129" s="80"/>
      <c r="K129" s="80"/>
      <c r="L129" s="80"/>
      <c r="M129" s="80"/>
      <c r="N129" s="80"/>
      <c r="O129" s="80"/>
      <c r="P129" s="80"/>
      <c r="Q129" s="80"/>
    </row>
    <row r="130" spans="1:17">
      <c r="A130" s="80"/>
      <c r="B130" s="115" t="str">
        <f>CONCATENATE("Running ", CHOOSE(Assumptions!$B$7,Assumptions!$B$13,Assumptions!$B$14,Assumptions!$B$15)," Model")</f>
        <v>Running Base Case Model</v>
      </c>
      <c r="C130" s="80"/>
      <c r="D130" s="80"/>
      <c r="E130" s="80"/>
      <c r="F130" s="80"/>
      <c r="G130" s="80"/>
      <c r="H130" s="80"/>
      <c r="I130" s="80"/>
      <c r="J130" s="80"/>
      <c r="K130" s="80"/>
      <c r="L130" s="81" t="s">
        <v>86</v>
      </c>
      <c r="M130" s="81"/>
      <c r="N130" s="81"/>
      <c r="O130" s="81"/>
      <c r="P130" s="81"/>
      <c r="Q130" s="81"/>
    </row>
    <row r="131" spans="1:17">
      <c r="A131" s="82"/>
      <c r="B131" s="113"/>
      <c r="C131" s="80"/>
      <c r="D131" s="80"/>
      <c r="E131" s="80"/>
      <c r="F131" s="83" t="s">
        <v>38</v>
      </c>
      <c r="G131" s="83" t="s">
        <v>10</v>
      </c>
      <c r="H131" s="83" t="s">
        <v>11</v>
      </c>
      <c r="I131" s="83" t="s">
        <v>12</v>
      </c>
      <c r="J131" s="83" t="s">
        <v>13</v>
      </c>
      <c r="K131" s="83" t="s">
        <v>14</v>
      </c>
      <c r="L131" s="83" t="s">
        <v>15</v>
      </c>
      <c r="M131" s="83" t="s">
        <v>78</v>
      </c>
      <c r="N131" s="83" t="s">
        <v>79</v>
      </c>
      <c r="O131" s="83" t="s">
        <v>80</v>
      </c>
      <c r="P131" s="83" t="s">
        <v>81</v>
      </c>
      <c r="Q131" s="44" t="s">
        <v>295</v>
      </c>
    </row>
    <row r="132" spans="1:17">
      <c r="B132" s="3" t="s">
        <v>363</v>
      </c>
    </row>
    <row r="133" spans="1:17">
      <c r="B133" s="110" t="s">
        <v>100</v>
      </c>
      <c r="E133" s="72"/>
      <c r="F133" s="53">
        <v>26</v>
      </c>
      <c r="G133" s="53">
        <v>31</v>
      </c>
      <c r="H133" s="53">
        <v>42</v>
      </c>
      <c r="I133" s="53">
        <v>40</v>
      </c>
      <c r="J133" s="53">
        <v>53</v>
      </c>
      <c r="K133" s="53">
        <v>44</v>
      </c>
      <c r="L133" s="90">
        <f>ROUND(K133*(1+Assumptions!H11),0)</f>
        <v>59</v>
      </c>
      <c r="M133" s="90">
        <f>ROUND(L133*(1+Assumptions!I11),0)</f>
        <v>74</v>
      </c>
      <c r="N133" s="90">
        <f>ROUND(M133*(1+Assumptions!J11),0)</f>
        <v>85</v>
      </c>
      <c r="O133" s="90">
        <f>ROUND(N133*(1+Assumptions!K11),0)</f>
        <v>98</v>
      </c>
      <c r="P133" s="90">
        <f>ROUND(O133*(1+Assumptions!L11),0)</f>
        <v>113</v>
      </c>
      <c r="Q133" s="90">
        <f>ROUND(P133*(1+Assumptions!M11),0)</f>
        <v>118</v>
      </c>
    </row>
    <row r="134" spans="1:17">
      <c r="B134" s="110" t="s">
        <v>101</v>
      </c>
      <c r="E134" s="72"/>
      <c r="F134" s="53">
        <v>203</v>
      </c>
      <c r="G134" s="53">
        <v>227</v>
      </c>
      <c r="H134" s="53">
        <v>267</v>
      </c>
      <c r="I134" s="53">
        <v>305</v>
      </c>
      <c r="J134" s="53">
        <v>396</v>
      </c>
      <c r="K134" s="53">
        <v>374</v>
      </c>
      <c r="L134" s="90">
        <f>ROUND(K134*(1+Assumptions!H17),0)</f>
        <v>393</v>
      </c>
      <c r="M134" s="90">
        <f>ROUND(L134*(1+Assumptions!I17),0)</f>
        <v>405</v>
      </c>
      <c r="N134" s="90">
        <f>ROUND(M134*(1+Assumptions!J17),0)</f>
        <v>413</v>
      </c>
      <c r="O134" s="90">
        <f>ROUND(N134*(1+Assumptions!K17),0)</f>
        <v>417</v>
      </c>
      <c r="P134" s="90">
        <f>ROUND(O134*(1+Assumptions!L17),0)</f>
        <v>417</v>
      </c>
      <c r="Q134" s="90">
        <f>ROUND(P134*(1+Assumptions!M17),0)</f>
        <v>417</v>
      </c>
    </row>
    <row r="135" spans="1:17">
      <c r="B135" s="110" t="s">
        <v>102</v>
      </c>
      <c r="E135" s="72"/>
      <c r="F135" s="62">
        <v>115</v>
      </c>
      <c r="G135" s="62">
        <v>137</v>
      </c>
      <c r="H135" s="62">
        <v>196</v>
      </c>
      <c r="I135" s="62">
        <v>216</v>
      </c>
      <c r="J135" s="62">
        <v>151</v>
      </c>
      <c r="K135" s="62">
        <v>165</v>
      </c>
      <c r="L135" s="91">
        <f>ROUND(K135*(1+Assumptions!H23),0)</f>
        <v>178</v>
      </c>
      <c r="M135" s="91">
        <f>ROUND(L135*(1+Assumptions!I23),0)</f>
        <v>190</v>
      </c>
      <c r="N135" s="91">
        <f>ROUND(M135*(1+Assumptions!J23),0)</f>
        <v>202</v>
      </c>
      <c r="O135" s="91">
        <f>ROUND(N135*(1+Assumptions!K23),0)</f>
        <v>215</v>
      </c>
      <c r="P135" s="91">
        <f>ROUND(O135*(1+Assumptions!L23),0)</f>
        <v>229</v>
      </c>
      <c r="Q135" s="91">
        <f>ROUND(P135*(1+Assumptions!M23),0)</f>
        <v>235</v>
      </c>
    </row>
    <row r="136" spans="1:17" s="3" customFormat="1">
      <c r="A136" s="1"/>
      <c r="B136" s="111" t="s">
        <v>28</v>
      </c>
      <c r="E136" s="85"/>
      <c r="F136" s="58">
        <f t="shared" ref="F136:L136" si="78">SUM(F133:F135)</f>
        <v>344</v>
      </c>
      <c r="G136" s="58">
        <f t="shared" si="78"/>
        <v>395</v>
      </c>
      <c r="H136" s="58">
        <f t="shared" si="78"/>
        <v>505</v>
      </c>
      <c r="I136" s="58">
        <f t="shared" si="78"/>
        <v>561</v>
      </c>
      <c r="J136" s="58">
        <f t="shared" si="78"/>
        <v>600</v>
      </c>
      <c r="K136" s="58">
        <f t="shared" si="78"/>
        <v>583</v>
      </c>
      <c r="L136" s="92">
        <f t="shared" si="78"/>
        <v>630</v>
      </c>
      <c r="M136" s="92">
        <f t="shared" ref="M136:Q136" si="79">SUM(M133:M135)</f>
        <v>669</v>
      </c>
      <c r="N136" s="92">
        <f t="shared" si="79"/>
        <v>700</v>
      </c>
      <c r="O136" s="92">
        <f t="shared" si="79"/>
        <v>730</v>
      </c>
      <c r="P136" s="92">
        <f t="shared" si="79"/>
        <v>759</v>
      </c>
      <c r="Q136" s="92">
        <f t="shared" si="79"/>
        <v>770</v>
      </c>
    </row>
    <row r="137" spans="1:17">
      <c r="E137" s="72"/>
    </row>
    <row r="138" spans="1:17">
      <c r="B138" s="3" t="s">
        <v>364</v>
      </c>
      <c r="E138" s="72"/>
    </row>
    <row r="139" spans="1:17">
      <c r="B139" s="110" t="s">
        <v>103</v>
      </c>
      <c r="E139" s="72"/>
      <c r="F139" s="53">
        <f t="shared" ref="F139:K141" si="80">F147/F133</f>
        <v>107.68076923076923</v>
      </c>
      <c r="G139" s="53">
        <f t="shared" si="80"/>
        <v>143.99354838709678</v>
      </c>
      <c r="H139" s="53">
        <f t="shared" si="80"/>
        <v>149.61904761904762</v>
      </c>
      <c r="I139" s="53">
        <f t="shared" si="80"/>
        <v>176.13249999999999</v>
      </c>
      <c r="J139" s="53">
        <f t="shared" si="80"/>
        <v>172.15094339622641</v>
      </c>
      <c r="K139" s="53">
        <f t="shared" si="80"/>
        <v>189.12272727272727</v>
      </c>
      <c r="L139" s="90">
        <f>K139*(1+Assumptions!H33)</f>
        <v>196.68763636363639</v>
      </c>
      <c r="M139" s="90">
        <f>L139*(1+Assumptions!I33)</f>
        <v>201.60482727272728</v>
      </c>
      <c r="N139" s="90">
        <f>M139*(1+Assumptions!J33)</f>
        <v>206.64494795454544</v>
      </c>
      <c r="O139" s="90">
        <f>N139*(1+Assumptions!K33)</f>
        <v>211.81107165340907</v>
      </c>
      <c r="P139" s="90">
        <f>O139*(1+Assumptions!L33)</f>
        <v>217.10634844474427</v>
      </c>
      <c r="Q139" s="90">
        <f>P139*(1+Assumptions!M33)</f>
        <v>221.44847541363916</v>
      </c>
    </row>
    <row r="140" spans="1:17">
      <c r="B140" s="110" t="s">
        <v>104</v>
      </c>
      <c r="F140" s="53">
        <f t="shared" si="80"/>
        <v>29.172906403940889</v>
      </c>
      <c r="G140" s="53">
        <f t="shared" si="80"/>
        <v>24.240969162995594</v>
      </c>
      <c r="H140" s="53">
        <f t="shared" si="80"/>
        <v>25.674531835205993</v>
      </c>
      <c r="I140" s="53">
        <f t="shared" si="80"/>
        <v>25.329180327868851</v>
      </c>
      <c r="J140" s="53">
        <f t="shared" si="80"/>
        <v>31.006313131313131</v>
      </c>
      <c r="K140" s="53">
        <f t="shared" si="80"/>
        <v>34.22941176470588</v>
      </c>
      <c r="L140" s="90">
        <f>K140*(1+Assumptions!H39)</f>
        <v>34.571705882352937</v>
      </c>
      <c r="M140" s="90">
        <f>L140*(1+Assumptions!I39)</f>
        <v>34.571705882352937</v>
      </c>
      <c r="N140" s="90">
        <f>M140*(1+Assumptions!J39)</f>
        <v>34.571705882352937</v>
      </c>
      <c r="O140" s="90">
        <f>N140*(1+Assumptions!K39)</f>
        <v>34.571705882352937</v>
      </c>
      <c r="P140" s="90">
        <f>O140*(1+Assumptions!L39)</f>
        <v>34.571705882352937</v>
      </c>
      <c r="Q140" s="90">
        <f>P140*(1+Assumptions!M39)</f>
        <v>34.571705882352937</v>
      </c>
    </row>
    <row r="141" spans="1:17">
      <c r="B141" s="110" t="s">
        <v>105</v>
      </c>
      <c r="F141" s="62">
        <f t="shared" si="80"/>
        <v>2.3860869565217389</v>
      </c>
      <c r="G141" s="62">
        <f t="shared" si="80"/>
        <v>2.5554744525547446</v>
      </c>
      <c r="H141" s="62">
        <f t="shared" si="80"/>
        <v>2.6209183673469392</v>
      </c>
      <c r="I141" s="62">
        <f t="shared" si="80"/>
        <v>3.0537037037037038</v>
      </c>
      <c r="J141" s="62">
        <f t="shared" si="80"/>
        <v>3.5503311258278147</v>
      </c>
      <c r="K141" s="62">
        <f t="shared" si="80"/>
        <v>3.9121212121212121</v>
      </c>
      <c r="L141" s="91">
        <f>K141*(1+Assumptions!H45)</f>
        <v>3.9903636363636363</v>
      </c>
      <c r="M141" s="91">
        <f>L141*(1+Assumptions!I45)</f>
        <v>4.0701709090909093</v>
      </c>
      <c r="N141" s="91">
        <f>M141*(1+Assumptions!J45)</f>
        <v>4.1515743272727272</v>
      </c>
      <c r="O141" s="91">
        <f>N141*(1+Assumptions!K45)</f>
        <v>4.2346058138181819</v>
      </c>
      <c r="P141" s="91">
        <f>O141*(1+Assumptions!L45)</f>
        <v>4.319297930094546</v>
      </c>
      <c r="Q141" s="91">
        <f>P141*(1+Assumptions!M45)</f>
        <v>4.4056838886964371</v>
      </c>
    </row>
    <row r="142" spans="1:17">
      <c r="B142" s="111" t="s">
        <v>112</v>
      </c>
      <c r="C142" s="3"/>
      <c r="D142" s="3"/>
      <c r="E142" s="3"/>
      <c r="F142" s="58">
        <f t="shared" ref="F142:K142" si="81">SUMPRODUCT(F133:F135,F139:F141)/SUM(F133:F135)</f>
        <v>26.151744186046507</v>
      </c>
      <c r="G142" s="58">
        <f t="shared" si="81"/>
        <v>26.117974683544304</v>
      </c>
      <c r="H142" s="58">
        <f t="shared" si="81"/>
        <v>27.035247524752478</v>
      </c>
      <c r="I142" s="58">
        <f t="shared" si="81"/>
        <v>27.504991087344028</v>
      </c>
      <c r="J142" s="58">
        <f t="shared" si="81"/>
        <v>36.56433333333333</v>
      </c>
      <c r="K142" s="58">
        <f t="shared" si="81"/>
        <v>37.339108061749563</v>
      </c>
      <c r="L142" s="92">
        <f>SUM(L139:L141)</f>
        <v>235.24970588235297</v>
      </c>
      <c r="M142" s="92">
        <f t="shared" ref="M142:Q142" si="82">SUM(M139:M141)</f>
        <v>240.24670406417113</v>
      </c>
      <c r="N142" s="92">
        <f t="shared" si="82"/>
        <v>245.36822816417111</v>
      </c>
      <c r="O142" s="92">
        <f t="shared" si="82"/>
        <v>250.61738334958019</v>
      </c>
      <c r="P142" s="92">
        <f t="shared" si="82"/>
        <v>255.99735225719175</v>
      </c>
      <c r="Q142" s="92">
        <f t="shared" si="82"/>
        <v>260.42586518468852</v>
      </c>
    </row>
    <row r="143" spans="1:17">
      <c r="B143" s="111"/>
      <c r="C143" s="3"/>
      <c r="D143" s="3"/>
      <c r="E143" s="3"/>
      <c r="F143" s="58"/>
      <c r="G143" s="58"/>
      <c r="H143" s="58"/>
      <c r="I143" s="58"/>
      <c r="J143" s="58"/>
      <c r="K143" s="58"/>
      <c r="L143" s="123"/>
      <c r="M143" s="123"/>
      <c r="N143" s="123"/>
      <c r="O143" s="123"/>
      <c r="P143" s="123"/>
      <c r="Q143" s="123"/>
    </row>
    <row r="144" spans="1:17">
      <c r="B144" s="124"/>
      <c r="C144" s="120"/>
      <c r="D144" s="120"/>
      <c r="E144" s="120"/>
      <c r="F144" s="70"/>
      <c r="G144" s="70"/>
      <c r="H144" s="70"/>
      <c r="I144" s="70"/>
      <c r="J144" s="70"/>
      <c r="K144" s="70"/>
      <c r="L144" s="125"/>
      <c r="M144" s="125"/>
      <c r="N144" s="125"/>
      <c r="O144" s="125"/>
      <c r="P144" s="125"/>
      <c r="Q144" s="125"/>
    </row>
    <row r="145" spans="1:17">
      <c r="K145" s="58"/>
    </row>
    <row r="146" spans="1:17">
      <c r="B146" s="3" t="s">
        <v>365</v>
      </c>
      <c r="K146" s="1"/>
    </row>
    <row r="147" spans="1:17">
      <c r="B147" s="110" t="s">
        <v>108</v>
      </c>
      <c r="F147" s="53">
        <v>2799.7</v>
      </c>
      <c r="G147" s="53">
        <v>4463.8</v>
      </c>
      <c r="H147" s="53">
        <v>6284</v>
      </c>
      <c r="I147" s="53">
        <v>7045.3</v>
      </c>
      <c r="J147" s="53">
        <v>9124</v>
      </c>
      <c r="K147" s="53">
        <f>8321.4</f>
        <v>8321.4</v>
      </c>
      <c r="L147" s="90">
        <f t="shared" ref="L147:Q149" si="83">L133*L139</f>
        <v>11604.570545454546</v>
      </c>
      <c r="M147" s="90">
        <f t="shared" si="83"/>
        <v>14918.757218181818</v>
      </c>
      <c r="N147" s="90">
        <f t="shared" si="83"/>
        <v>17564.820576136364</v>
      </c>
      <c r="O147" s="90">
        <f t="shared" si="83"/>
        <v>20757.485022034089</v>
      </c>
      <c r="P147" s="90">
        <f t="shared" si="83"/>
        <v>24533.017374256102</v>
      </c>
      <c r="Q147" s="90">
        <f t="shared" si="83"/>
        <v>26130.92009880942</v>
      </c>
    </row>
    <row r="148" spans="1:17">
      <c r="B148" s="110" t="s">
        <v>109</v>
      </c>
      <c r="F148" s="53">
        <v>5922.1</v>
      </c>
      <c r="G148" s="53">
        <v>5502.7</v>
      </c>
      <c r="H148" s="53">
        <v>6855.1</v>
      </c>
      <c r="I148" s="53">
        <v>7725.4</v>
      </c>
      <c r="J148" s="53">
        <v>12278.5</v>
      </c>
      <c r="K148" s="53">
        <f>12801.8</f>
        <v>12801.8</v>
      </c>
      <c r="L148" s="90">
        <f t="shared" si="83"/>
        <v>13586.680411764704</v>
      </c>
      <c r="M148" s="90">
        <f t="shared" si="83"/>
        <v>14001.54088235294</v>
      </c>
      <c r="N148" s="90">
        <f t="shared" si="83"/>
        <v>14278.114529411763</v>
      </c>
      <c r="O148" s="90">
        <f t="shared" si="83"/>
        <v>14416.401352941175</v>
      </c>
      <c r="P148" s="90">
        <f t="shared" si="83"/>
        <v>14416.401352941175</v>
      </c>
      <c r="Q148" s="90">
        <f t="shared" si="83"/>
        <v>14416.401352941175</v>
      </c>
    </row>
    <row r="149" spans="1:17">
      <c r="B149" s="110" t="s">
        <v>110</v>
      </c>
      <c r="F149" s="53">
        <v>274.39999999999998</v>
      </c>
      <c r="G149" s="53">
        <v>350.1</v>
      </c>
      <c r="H149" s="53">
        <v>513.70000000000005</v>
      </c>
      <c r="I149" s="53">
        <v>659.6</v>
      </c>
      <c r="J149" s="53">
        <v>536.1</v>
      </c>
      <c r="K149" s="62">
        <f>645.5</f>
        <v>645.5</v>
      </c>
      <c r="L149" s="90">
        <f t="shared" si="83"/>
        <v>710.28472727272731</v>
      </c>
      <c r="M149" s="90">
        <f t="shared" si="83"/>
        <v>773.33247272727272</v>
      </c>
      <c r="N149" s="90">
        <f t="shared" si="83"/>
        <v>838.61801410909095</v>
      </c>
      <c r="O149" s="90">
        <f t="shared" si="83"/>
        <v>910.44024997090912</v>
      </c>
      <c r="P149" s="90">
        <f t="shared" si="83"/>
        <v>989.11922599165098</v>
      </c>
      <c r="Q149" s="90">
        <f t="shared" si="83"/>
        <v>1035.3357138436627</v>
      </c>
    </row>
    <row r="150" spans="1:17" s="3" customFormat="1">
      <c r="B150" s="111" t="s">
        <v>28</v>
      </c>
      <c r="F150" s="86">
        <f t="shared" ref="F150:J150" si="84">SUM(F147:F149)</f>
        <v>8996.1999999999989</v>
      </c>
      <c r="G150" s="86">
        <f t="shared" si="84"/>
        <v>10316.6</v>
      </c>
      <c r="H150" s="86">
        <f t="shared" si="84"/>
        <v>13652.800000000001</v>
      </c>
      <c r="I150" s="86">
        <f t="shared" si="84"/>
        <v>15430.300000000001</v>
      </c>
      <c r="J150" s="86">
        <f t="shared" si="84"/>
        <v>21938.6</v>
      </c>
      <c r="K150" s="86">
        <f>SUM(K147:K149)</f>
        <v>21768.699999999997</v>
      </c>
      <c r="L150" s="93">
        <f>SUM(L147:L149)</f>
        <v>25901.535684491977</v>
      </c>
      <c r="M150" s="93">
        <f t="shared" ref="M150:Q150" si="85">SUM(M147:M149)</f>
        <v>29693.630573262031</v>
      </c>
      <c r="N150" s="93">
        <f t="shared" si="85"/>
        <v>32681.553119657219</v>
      </c>
      <c r="O150" s="93">
        <f t="shared" si="85"/>
        <v>36084.326624946174</v>
      </c>
      <c r="P150" s="93">
        <f t="shared" si="85"/>
        <v>39938.537953188927</v>
      </c>
      <c r="Q150" s="93">
        <f t="shared" si="85"/>
        <v>41582.657165594261</v>
      </c>
    </row>
    <row r="151" spans="1:17">
      <c r="F151" s="1"/>
      <c r="G151" s="1"/>
      <c r="H151" s="1"/>
      <c r="I151" s="1"/>
      <c r="J151" s="1"/>
      <c r="K151" s="1"/>
      <c r="L151" s="1"/>
      <c r="M151" s="1"/>
      <c r="N151" s="1"/>
      <c r="O151" s="1"/>
      <c r="P151" s="1"/>
      <c r="Q151" s="1"/>
    </row>
    <row r="152" spans="1:17">
      <c r="B152" s="110" t="s">
        <v>119</v>
      </c>
      <c r="F152" s="53">
        <f t="shared" ref="F152:K152" si="86">F8-F150</f>
        <v>2823.8000000000011</v>
      </c>
      <c r="G152" s="53">
        <f t="shared" si="86"/>
        <v>3661.8999999999996</v>
      </c>
      <c r="H152" s="53">
        <f t="shared" si="86"/>
        <v>4958.1999999999989</v>
      </c>
      <c r="I152" s="53">
        <f t="shared" si="86"/>
        <v>5743.1</v>
      </c>
      <c r="J152" s="53">
        <f t="shared" si="86"/>
        <v>5619.9000000000015</v>
      </c>
      <c r="K152" s="53">
        <f t="shared" si="86"/>
        <v>6494.2000000000044</v>
      </c>
      <c r="L152" s="90">
        <f>K152*(1+Assumptions!H55)</f>
        <v>7468.3300000000045</v>
      </c>
      <c r="M152" s="90">
        <f>L152*(1+Assumptions!I55)</f>
        <v>8364.5296000000053</v>
      </c>
      <c r="N152" s="90">
        <f>M152*(1+Assumptions!J55)</f>
        <v>9200.9825600000058</v>
      </c>
      <c r="O152" s="90">
        <f>N152*(1+Assumptions!K55)</f>
        <v>10121.080816000007</v>
      </c>
      <c r="P152" s="90">
        <f>O152*(1+Assumptions!L55)</f>
        <v>11133.188897600008</v>
      </c>
      <c r="Q152" s="90">
        <f>P152*(1+Assumptions!M55)</f>
        <v>11467.184564528008</v>
      </c>
    </row>
    <row r="153" spans="1:17" s="3" customFormat="1">
      <c r="B153" s="111" t="s">
        <v>111</v>
      </c>
      <c r="F153" s="68">
        <f t="shared" ref="F153:K153" si="87">F152+F150</f>
        <v>11820</v>
      </c>
      <c r="G153" s="68">
        <f t="shared" si="87"/>
        <v>13978.5</v>
      </c>
      <c r="H153" s="68">
        <f t="shared" si="87"/>
        <v>18611</v>
      </c>
      <c r="I153" s="68">
        <f t="shared" si="87"/>
        <v>21173.4</v>
      </c>
      <c r="J153" s="68">
        <f t="shared" si="87"/>
        <v>27558.5</v>
      </c>
      <c r="K153" s="68">
        <f t="shared" si="87"/>
        <v>28262.9</v>
      </c>
      <c r="L153" s="94">
        <f t="shared" ref="L153" si="88">L152+L150</f>
        <v>33369.865684491982</v>
      </c>
      <c r="M153" s="94">
        <f t="shared" ref="M153" si="89">M152+M150</f>
        <v>38058.160173262033</v>
      </c>
      <c r="N153" s="94">
        <f t="shared" ref="N153" si="90">N152+N150</f>
        <v>41882.535679657223</v>
      </c>
      <c r="O153" s="94">
        <f t="shared" ref="O153" si="91">O152+O150</f>
        <v>46205.407440946183</v>
      </c>
      <c r="P153" s="94">
        <f t="shared" ref="P153" si="92">P152+P150</f>
        <v>51071.726850788938</v>
      </c>
      <c r="Q153" s="94">
        <f t="shared" ref="Q153" si="93">Q152+Q150</f>
        <v>53049.841730122265</v>
      </c>
    </row>
    <row r="154" spans="1:17">
      <c r="F154" s="1"/>
      <c r="G154" s="1"/>
      <c r="H154" s="1"/>
      <c r="I154" s="1"/>
      <c r="J154" s="1"/>
      <c r="K154" s="1"/>
      <c r="L154" s="1"/>
      <c r="M154" s="1"/>
      <c r="N154" s="1"/>
      <c r="O154" s="1"/>
      <c r="P154" s="1"/>
      <c r="Q154" s="1"/>
    </row>
    <row r="155" spans="1:17">
      <c r="F155" s="84"/>
      <c r="G155" s="84"/>
      <c r="H155" s="84"/>
      <c r="I155" s="84"/>
      <c r="J155" s="84"/>
      <c r="K155" s="84"/>
      <c r="L155" s="84"/>
      <c r="M155" s="84"/>
      <c r="N155" s="84"/>
      <c r="O155" s="84"/>
      <c r="P155" s="84"/>
      <c r="Q155" s="84"/>
    </row>
    <row r="156" spans="1:17" ht="24">
      <c r="A156" s="1" t="s">
        <v>25</v>
      </c>
      <c r="B156" s="139" t="s">
        <v>254</v>
      </c>
      <c r="C156" s="140"/>
      <c r="D156" s="140"/>
      <c r="E156" s="140"/>
      <c r="F156" s="140"/>
      <c r="G156" s="140"/>
      <c r="H156" s="140"/>
      <c r="I156" s="140"/>
      <c r="J156" s="140"/>
      <c r="K156" s="140"/>
      <c r="L156" s="140"/>
      <c r="M156" s="140"/>
      <c r="N156" s="140"/>
      <c r="O156" s="140"/>
      <c r="P156" s="140"/>
      <c r="Q156" s="140"/>
    </row>
    <row r="157" spans="1:17">
      <c r="B157" s="126"/>
      <c r="C157" s="127"/>
      <c r="D157" s="127"/>
      <c r="E157" s="127"/>
      <c r="F157" s="127"/>
      <c r="G157" s="127"/>
      <c r="H157" s="127"/>
      <c r="I157" s="127"/>
      <c r="J157" s="127"/>
      <c r="K157" s="127"/>
      <c r="L157" s="127"/>
      <c r="M157" s="127"/>
      <c r="N157" s="127"/>
      <c r="O157" s="127"/>
      <c r="P157" s="127"/>
      <c r="Q157" s="127"/>
    </row>
    <row r="158" spans="1:17">
      <c r="B158" s="116" t="s">
        <v>131</v>
      </c>
      <c r="C158" s="71"/>
      <c r="D158" s="71"/>
      <c r="E158" s="71"/>
      <c r="F158" s="80"/>
      <c r="G158" s="80"/>
      <c r="H158" s="80"/>
      <c r="I158" s="80"/>
      <c r="J158" s="80"/>
      <c r="K158" s="80"/>
      <c r="L158" s="80"/>
      <c r="M158" s="80"/>
      <c r="N158" s="80"/>
      <c r="O158" s="80"/>
      <c r="P158" s="80"/>
      <c r="Q158" s="80"/>
    </row>
    <row r="159" spans="1:17">
      <c r="B159" s="115" t="str">
        <f>CONCATENATE("Running ", CHOOSE(Assumptions!$B$7,Assumptions!$B$13,Assumptions!$B$14,Assumptions!$B$15)," Model")</f>
        <v>Running Base Case Model</v>
      </c>
      <c r="C159" s="80"/>
      <c r="D159" s="80"/>
      <c r="E159" s="80"/>
      <c r="F159" s="80"/>
      <c r="G159" s="80"/>
      <c r="H159" s="80"/>
      <c r="I159" s="80"/>
      <c r="J159" s="80"/>
      <c r="K159" s="80"/>
      <c r="L159" s="81" t="s">
        <v>86</v>
      </c>
      <c r="M159" s="81"/>
      <c r="N159" s="81"/>
      <c r="O159" s="81"/>
      <c r="P159" s="81"/>
      <c r="Q159" s="81"/>
    </row>
    <row r="160" spans="1:17">
      <c r="B160" s="113"/>
      <c r="C160" s="80"/>
      <c r="D160" s="80"/>
      <c r="E160" s="80"/>
      <c r="F160" s="83" t="s">
        <v>38</v>
      </c>
      <c r="G160" s="83" t="s">
        <v>10</v>
      </c>
      <c r="H160" s="83" t="s">
        <v>11</v>
      </c>
      <c r="I160" s="83" t="s">
        <v>12</v>
      </c>
      <c r="J160" s="83" t="s">
        <v>13</v>
      </c>
      <c r="K160" s="83" t="s">
        <v>14</v>
      </c>
      <c r="L160" s="83" t="s">
        <v>15</v>
      </c>
      <c r="M160" s="83" t="s">
        <v>78</v>
      </c>
      <c r="N160" s="83" t="s">
        <v>79</v>
      </c>
      <c r="O160" s="83" t="s">
        <v>80</v>
      </c>
      <c r="P160" s="83" t="s">
        <v>81</v>
      </c>
      <c r="Q160" s="44" t="s">
        <v>295</v>
      </c>
    </row>
    <row r="161" spans="1:17">
      <c r="F161" s="1"/>
      <c r="G161" s="1"/>
      <c r="H161" s="1"/>
      <c r="I161" s="1"/>
      <c r="J161" s="1"/>
      <c r="K161" s="1"/>
      <c r="L161" s="1"/>
      <c r="M161" s="1"/>
      <c r="N161" s="1"/>
      <c r="O161" s="1"/>
      <c r="P161" s="1"/>
      <c r="Q161" s="1"/>
    </row>
    <row r="162" spans="1:17">
      <c r="B162" s="110" t="s">
        <v>123</v>
      </c>
      <c r="F162" s="53">
        <f t="shared" ref="F162:Q162" si="94">F150</f>
        <v>8996.1999999999989</v>
      </c>
      <c r="G162" s="53">
        <f t="shared" si="94"/>
        <v>10316.6</v>
      </c>
      <c r="H162" s="53">
        <f t="shared" si="94"/>
        <v>13652.800000000001</v>
      </c>
      <c r="I162" s="53">
        <f t="shared" si="94"/>
        <v>15430.300000000001</v>
      </c>
      <c r="J162" s="53">
        <f t="shared" si="94"/>
        <v>21938.6</v>
      </c>
      <c r="K162" s="53">
        <f t="shared" si="94"/>
        <v>21768.699999999997</v>
      </c>
      <c r="L162" s="90">
        <f t="shared" si="94"/>
        <v>25901.535684491977</v>
      </c>
      <c r="M162" s="90">
        <f t="shared" si="94"/>
        <v>29693.630573262031</v>
      </c>
      <c r="N162" s="90">
        <f t="shared" si="94"/>
        <v>32681.553119657219</v>
      </c>
      <c r="O162" s="90">
        <f t="shared" si="94"/>
        <v>36084.326624946174</v>
      </c>
      <c r="P162" s="90">
        <f t="shared" si="94"/>
        <v>39938.537953188927</v>
      </c>
      <c r="Q162" s="90">
        <f t="shared" si="94"/>
        <v>41582.657165594261</v>
      </c>
    </row>
    <row r="163" spans="1:17">
      <c r="B163" s="110" t="s">
        <v>124</v>
      </c>
      <c r="F163" s="53">
        <f t="shared" ref="F163:Q163" si="95">F152</f>
        <v>2823.8000000000011</v>
      </c>
      <c r="G163" s="53">
        <f t="shared" si="95"/>
        <v>3661.8999999999996</v>
      </c>
      <c r="H163" s="53">
        <f t="shared" si="95"/>
        <v>4958.1999999999989</v>
      </c>
      <c r="I163" s="53">
        <f t="shared" si="95"/>
        <v>5743.1</v>
      </c>
      <c r="J163" s="53">
        <f t="shared" si="95"/>
        <v>5619.9000000000015</v>
      </c>
      <c r="K163" s="53">
        <f t="shared" si="95"/>
        <v>6494.2000000000044</v>
      </c>
      <c r="L163" s="90">
        <f t="shared" si="95"/>
        <v>7468.3300000000045</v>
      </c>
      <c r="M163" s="90">
        <f t="shared" si="95"/>
        <v>8364.5296000000053</v>
      </c>
      <c r="N163" s="90">
        <f t="shared" si="95"/>
        <v>9200.9825600000058</v>
      </c>
      <c r="O163" s="90">
        <f t="shared" si="95"/>
        <v>10121.080816000007</v>
      </c>
      <c r="P163" s="90">
        <f t="shared" si="95"/>
        <v>11133.188897600008</v>
      </c>
      <c r="Q163" s="90">
        <f t="shared" si="95"/>
        <v>11467.184564528008</v>
      </c>
    </row>
    <row r="164" spans="1:17">
      <c r="B164" s="110" t="s">
        <v>111</v>
      </c>
      <c r="F164" s="69">
        <f t="shared" ref="F164:Q164" si="96">SUM(F162:F163)</f>
        <v>11820</v>
      </c>
      <c r="G164" s="69">
        <f t="shared" si="96"/>
        <v>13978.5</v>
      </c>
      <c r="H164" s="69">
        <f t="shared" si="96"/>
        <v>18611</v>
      </c>
      <c r="I164" s="69">
        <f t="shared" si="96"/>
        <v>21173.4</v>
      </c>
      <c r="J164" s="69">
        <f t="shared" si="96"/>
        <v>27558.5</v>
      </c>
      <c r="K164" s="69">
        <f t="shared" si="96"/>
        <v>28262.9</v>
      </c>
      <c r="L164" s="97">
        <f t="shared" si="96"/>
        <v>33369.865684491982</v>
      </c>
      <c r="M164" s="97">
        <f t="shared" si="96"/>
        <v>38058.160173262033</v>
      </c>
      <c r="N164" s="97">
        <f t="shared" si="96"/>
        <v>41882.535679657223</v>
      </c>
      <c r="O164" s="97">
        <f t="shared" si="96"/>
        <v>46205.407440946183</v>
      </c>
      <c r="P164" s="97">
        <f t="shared" si="96"/>
        <v>51071.726850788938</v>
      </c>
      <c r="Q164" s="97">
        <f t="shared" si="96"/>
        <v>53049.841730122265</v>
      </c>
    </row>
    <row r="165" spans="1:17" s="3" customFormat="1">
      <c r="B165" s="111"/>
      <c r="F165" s="58"/>
      <c r="G165" s="58"/>
      <c r="H165" s="58"/>
      <c r="I165" s="58"/>
      <c r="J165" s="58"/>
      <c r="K165" s="58"/>
      <c r="L165" s="58"/>
      <c r="M165" s="58"/>
      <c r="N165" s="58"/>
      <c r="O165" s="58"/>
      <c r="P165" s="58"/>
      <c r="Q165" s="58"/>
    </row>
    <row r="166" spans="1:17">
      <c r="B166" s="128"/>
      <c r="C166" s="129"/>
      <c r="D166" s="129"/>
      <c r="E166" s="129"/>
      <c r="F166" s="129"/>
      <c r="G166" s="129"/>
      <c r="H166" s="129"/>
      <c r="I166" s="129"/>
      <c r="J166" s="129"/>
      <c r="K166" s="129"/>
      <c r="L166" s="129"/>
      <c r="M166" s="129"/>
      <c r="N166" s="129"/>
      <c r="O166" s="129"/>
      <c r="P166" s="129"/>
      <c r="Q166" s="129"/>
    </row>
    <row r="168" spans="1:17">
      <c r="B168" s="3" t="s">
        <v>366</v>
      </c>
    </row>
    <row r="169" spans="1:17">
      <c r="B169" s="110" t="s">
        <v>125</v>
      </c>
      <c r="F169" s="53">
        <v>5055.8999999999996</v>
      </c>
      <c r="G169" s="53">
        <v>5597.9</v>
      </c>
      <c r="H169" s="53">
        <v>6874.5</v>
      </c>
      <c r="I169" s="53">
        <v>7843.3</v>
      </c>
      <c r="J169" s="53">
        <v>10439.1</v>
      </c>
      <c r="K169" s="53">
        <v>10406.9</v>
      </c>
      <c r="L169" s="90">
        <f>L162*Assumptions!H65</f>
        <v>12432.737128556149</v>
      </c>
      <c r="M169" s="90">
        <f>M162*Assumptions!I65</f>
        <v>13659.070063700536</v>
      </c>
      <c r="N169" s="90">
        <f>N162*Assumptions!J65</f>
        <v>14706.698903845749</v>
      </c>
      <c r="O169" s="90">
        <f>O162*Assumptions!K65</f>
        <v>15877.103714976316</v>
      </c>
      <c r="P169" s="90">
        <f>P162*Assumptions!L65</f>
        <v>17173.571319871236</v>
      </c>
      <c r="Q169" s="90">
        <f>Q162*Assumptions!M65</f>
        <v>17464.716009549589</v>
      </c>
    </row>
    <row r="170" spans="1:17">
      <c r="B170" s="110" t="s">
        <v>126</v>
      </c>
      <c r="F170" s="62">
        <v>1864</v>
      </c>
      <c r="G170" s="62">
        <v>2012</v>
      </c>
      <c r="H170" s="62">
        <v>2319.1</v>
      </c>
      <c r="I170" s="62">
        <v>2817.4</v>
      </c>
      <c r="J170" s="62">
        <v>3345</v>
      </c>
      <c r="K170" s="62">
        <v>3364</v>
      </c>
      <c r="L170" s="91">
        <f>L163*Assumptions!H71</f>
        <v>3883.5316000000025</v>
      </c>
      <c r="M170" s="91">
        <f>M163*Assumptions!I71</f>
        <v>4182.2648000000027</v>
      </c>
      <c r="N170" s="91">
        <f>N163*Assumptions!J71</f>
        <v>4508.4814544000028</v>
      </c>
      <c r="O170" s="91">
        <f>O163*Assumptions!K71</f>
        <v>4858.1187916800036</v>
      </c>
      <c r="P170" s="91">
        <f>P163*Assumptions!L71</f>
        <v>5232.5987818720032</v>
      </c>
      <c r="Q170" s="91">
        <f>Q163*Assumptions!M71</f>
        <v>5504.2485909734442</v>
      </c>
    </row>
    <row r="171" spans="1:17" s="3" customFormat="1">
      <c r="B171" s="111" t="s">
        <v>127</v>
      </c>
      <c r="F171" s="68">
        <f t="shared" ref="F171:Q171" si="97">SUM(F169:F170)</f>
        <v>6919.9</v>
      </c>
      <c r="G171" s="68">
        <f t="shared" si="97"/>
        <v>7609.9</v>
      </c>
      <c r="H171" s="68">
        <f t="shared" si="97"/>
        <v>9193.6</v>
      </c>
      <c r="I171" s="68">
        <f t="shared" si="97"/>
        <v>10660.7</v>
      </c>
      <c r="J171" s="68">
        <f t="shared" si="97"/>
        <v>13784.1</v>
      </c>
      <c r="K171" s="68">
        <f t="shared" si="97"/>
        <v>13770.9</v>
      </c>
      <c r="L171" s="94">
        <f t="shared" si="97"/>
        <v>16316.268728556151</v>
      </c>
      <c r="M171" s="94">
        <f t="shared" si="97"/>
        <v>17841.33486370054</v>
      </c>
      <c r="N171" s="94">
        <f t="shared" si="97"/>
        <v>19215.180358245751</v>
      </c>
      <c r="O171" s="94">
        <f t="shared" si="97"/>
        <v>20735.222506656319</v>
      </c>
      <c r="P171" s="94">
        <f t="shared" si="97"/>
        <v>22406.170101743239</v>
      </c>
      <c r="Q171" s="94">
        <f t="shared" si="97"/>
        <v>22968.964600523032</v>
      </c>
    </row>
    <row r="173" spans="1:17">
      <c r="F173" s="1"/>
      <c r="G173" s="1"/>
      <c r="H173" s="1"/>
      <c r="I173" s="1"/>
      <c r="J173" s="1"/>
      <c r="K173" s="1"/>
      <c r="L173" s="1"/>
      <c r="M173" s="1"/>
      <c r="N173" s="1"/>
      <c r="O173" s="1"/>
      <c r="P173" s="1"/>
      <c r="Q173" s="1"/>
    </row>
    <row r="174" spans="1:17" ht="24">
      <c r="A174" s="1" t="s">
        <v>25</v>
      </c>
      <c r="B174" s="139" t="s">
        <v>255</v>
      </c>
      <c r="C174" s="140"/>
      <c r="D174" s="140"/>
      <c r="E174" s="140"/>
      <c r="F174" s="140"/>
      <c r="G174" s="140"/>
      <c r="H174" s="140"/>
      <c r="I174" s="140"/>
      <c r="J174" s="140"/>
      <c r="K174" s="140"/>
      <c r="L174" s="140"/>
      <c r="M174" s="140"/>
      <c r="N174" s="140"/>
      <c r="O174" s="140"/>
      <c r="P174" s="140"/>
      <c r="Q174" s="140"/>
    </row>
    <row r="175" spans="1:17">
      <c r="B175" s="126"/>
      <c r="C175" s="127"/>
      <c r="D175" s="127"/>
      <c r="E175" s="127"/>
      <c r="F175" s="127"/>
      <c r="G175" s="127"/>
      <c r="H175" s="127"/>
      <c r="I175" s="127"/>
      <c r="J175" s="127"/>
      <c r="K175" s="127"/>
      <c r="L175" s="127"/>
      <c r="M175" s="127"/>
      <c r="N175" s="127"/>
      <c r="O175" s="127"/>
      <c r="P175" s="127"/>
      <c r="Q175" s="127"/>
    </row>
    <row r="176" spans="1:17">
      <c r="B176" s="116" t="s">
        <v>130</v>
      </c>
      <c r="C176" s="71"/>
      <c r="D176" s="71"/>
      <c r="E176" s="71"/>
      <c r="F176" s="80"/>
      <c r="G176" s="80"/>
      <c r="H176" s="80"/>
      <c r="I176" s="80"/>
      <c r="J176" s="80"/>
      <c r="K176" s="80"/>
      <c r="L176" s="80"/>
      <c r="M176" s="80"/>
      <c r="N176" s="80"/>
      <c r="O176" s="80"/>
      <c r="P176" s="80"/>
      <c r="Q176" s="80"/>
    </row>
    <row r="177" spans="2:17">
      <c r="B177" s="117" t="str">
        <f>CONCATENATE("Running ", CHOOSE(Assumptions!$B$7,Assumptions!$B$13,Assumptions!$B$14,Assumptions!$B$15)," Model")</f>
        <v>Running Base Case Model</v>
      </c>
      <c r="C177" s="80"/>
      <c r="D177" s="80"/>
      <c r="E177" s="80"/>
      <c r="F177" s="80"/>
      <c r="G177" s="80"/>
      <c r="H177" s="80"/>
      <c r="I177" s="80"/>
      <c r="J177" s="80"/>
      <c r="K177" s="80"/>
      <c r="L177" s="81" t="s">
        <v>86</v>
      </c>
      <c r="M177" s="81"/>
      <c r="N177" s="81"/>
      <c r="O177" s="81"/>
      <c r="P177" s="81"/>
      <c r="Q177" s="81"/>
    </row>
    <row r="178" spans="2:17">
      <c r="B178" s="113"/>
      <c r="C178" s="80"/>
      <c r="D178" s="80"/>
      <c r="E178" s="80"/>
      <c r="F178" s="83" t="s">
        <v>38</v>
      </c>
      <c r="G178" s="83" t="s">
        <v>10</v>
      </c>
      <c r="H178" s="83" t="s">
        <v>11</v>
      </c>
      <c r="I178" s="83" t="s">
        <v>12</v>
      </c>
      <c r="J178" s="83" t="s">
        <v>13</v>
      </c>
      <c r="K178" s="83" t="s">
        <v>14</v>
      </c>
      <c r="L178" s="83" t="s">
        <v>15</v>
      </c>
      <c r="M178" s="83" t="s">
        <v>78</v>
      </c>
      <c r="N178" s="83" t="s">
        <v>79</v>
      </c>
      <c r="O178" s="83" t="s">
        <v>80</v>
      </c>
      <c r="P178" s="83" t="s">
        <v>81</v>
      </c>
      <c r="Q178" s="44" t="s">
        <v>295</v>
      </c>
    </row>
    <row r="179" spans="2:17">
      <c r="F179" s="1"/>
      <c r="G179" s="1"/>
      <c r="H179" s="1"/>
      <c r="I179" s="1"/>
      <c r="J179" s="1"/>
      <c r="K179" s="1"/>
      <c r="L179" s="1"/>
      <c r="M179" s="1"/>
      <c r="N179" s="1"/>
      <c r="O179" s="1"/>
      <c r="P179" s="1"/>
      <c r="Q179" s="1"/>
    </row>
    <row r="180" spans="2:17">
      <c r="B180" s="110" t="s">
        <v>99</v>
      </c>
      <c r="F180" s="53">
        <f>Assumptions!$D$118</f>
        <v>365</v>
      </c>
      <c r="G180" s="53">
        <f>Assumptions!$D$118</f>
        <v>365</v>
      </c>
      <c r="H180" s="53">
        <f>Assumptions!$D$118</f>
        <v>365</v>
      </c>
      <c r="I180" s="53">
        <f>Assumptions!$D$118</f>
        <v>365</v>
      </c>
      <c r="J180" s="53">
        <f>Assumptions!$D$118</f>
        <v>365</v>
      </c>
      <c r="K180" s="53">
        <f>Assumptions!$D$118</f>
        <v>365</v>
      </c>
      <c r="L180" s="90">
        <f>Assumptions!$D$118</f>
        <v>365</v>
      </c>
      <c r="M180" s="90">
        <f>Assumptions!$D$118</f>
        <v>365</v>
      </c>
      <c r="N180" s="90">
        <f>Assumptions!$D$118</f>
        <v>365</v>
      </c>
      <c r="O180" s="90">
        <f>Assumptions!$D$118</f>
        <v>365</v>
      </c>
      <c r="P180" s="90">
        <f>Assumptions!$D$118</f>
        <v>365</v>
      </c>
      <c r="Q180" s="90">
        <f>Assumptions!$D$118</f>
        <v>365</v>
      </c>
    </row>
    <row r="181" spans="2:17">
      <c r="B181" s="110" t="s">
        <v>0</v>
      </c>
      <c r="F181" s="53">
        <f t="shared" ref="F181:Q181" si="98">F153</f>
        <v>11820</v>
      </c>
      <c r="G181" s="53">
        <f t="shared" si="98"/>
        <v>13978.5</v>
      </c>
      <c r="H181" s="53">
        <f t="shared" si="98"/>
        <v>18611</v>
      </c>
      <c r="I181" s="53">
        <f t="shared" si="98"/>
        <v>21173.4</v>
      </c>
      <c r="J181" s="53">
        <f t="shared" si="98"/>
        <v>27558.5</v>
      </c>
      <c r="K181" s="53">
        <f t="shared" si="98"/>
        <v>28262.9</v>
      </c>
      <c r="L181" s="90">
        <f t="shared" si="98"/>
        <v>33369.865684491982</v>
      </c>
      <c r="M181" s="90">
        <f t="shared" si="98"/>
        <v>38058.160173262033</v>
      </c>
      <c r="N181" s="90">
        <f t="shared" si="98"/>
        <v>41882.535679657223</v>
      </c>
      <c r="O181" s="90">
        <f t="shared" si="98"/>
        <v>46205.407440946183</v>
      </c>
      <c r="P181" s="90">
        <f t="shared" si="98"/>
        <v>51071.726850788938</v>
      </c>
      <c r="Q181" s="90">
        <f t="shared" si="98"/>
        <v>53049.841730122265</v>
      </c>
    </row>
    <row r="182" spans="2:17">
      <c r="B182" s="110" t="s">
        <v>16</v>
      </c>
      <c r="F182" s="53">
        <f t="shared" ref="F182:Q182" si="99">F9</f>
        <v>-6919.9</v>
      </c>
      <c r="G182" s="53">
        <f t="shared" si="99"/>
        <v>-7609.9</v>
      </c>
      <c r="H182" s="53">
        <f t="shared" si="99"/>
        <v>-9193.6</v>
      </c>
      <c r="I182" s="53">
        <f t="shared" si="99"/>
        <v>-10660.7</v>
      </c>
      <c r="J182" s="53">
        <f t="shared" si="99"/>
        <v>-13784.1</v>
      </c>
      <c r="K182" s="53">
        <f t="shared" si="99"/>
        <v>-13979.1</v>
      </c>
      <c r="L182" s="90">
        <f t="shared" si="99"/>
        <v>-16316.268728556151</v>
      </c>
      <c r="M182" s="90">
        <f t="shared" si="99"/>
        <v>-17841.33486370054</v>
      </c>
      <c r="N182" s="90">
        <f t="shared" si="99"/>
        <v>-19215.180358245751</v>
      </c>
      <c r="O182" s="90">
        <f t="shared" si="99"/>
        <v>-20735.222506656319</v>
      </c>
      <c r="P182" s="90">
        <f t="shared" si="99"/>
        <v>-22406.170101743239</v>
      </c>
      <c r="Q182" s="90">
        <f t="shared" si="99"/>
        <v>-22968.964600523032</v>
      </c>
    </row>
    <row r="185" spans="2:17">
      <c r="B185" s="118"/>
      <c r="C185" s="46"/>
      <c r="D185" s="46"/>
      <c r="E185" s="46"/>
      <c r="F185" s="69"/>
      <c r="G185" s="69"/>
      <c r="H185" s="69"/>
      <c r="I185" s="69"/>
      <c r="J185" s="69"/>
      <c r="K185" s="69"/>
      <c r="L185" s="69"/>
      <c r="M185" s="69"/>
      <c r="N185" s="69"/>
      <c r="O185" s="69"/>
      <c r="P185" s="69"/>
      <c r="Q185" s="69"/>
    </row>
    <row r="186" spans="2:17">
      <c r="B186" s="3" t="s">
        <v>367</v>
      </c>
    </row>
    <row r="187" spans="2:17">
      <c r="B187" s="110" t="s">
        <v>23</v>
      </c>
      <c r="E187" s="72" t="s">
        <v>107</v>
      </c>
      <c r="F187" s="53">
        <v>55.176142131979695</v>
      </c>
      <c r="G187" s="53">
        <v>34.213935686947814</v>
      </c>
      <c r="H187" s="53">
        <v>59.385309763043367</v>
      </c>
      <c r="I187" s="53">
        <v>91.774915696109261</v>
      </c>
      <c r="J187" s="53">
        <v>57.403214979044584</v>
      </c>
      <c r="K187" s="53">
        <v>57.824480148887766</v>
      </c>
      <c r="L187" s="90">
        <f>Assumptions!H126</f>
        <v>55</v>
      </c>
      <c r="M187" s="90">
        <f>Assumptions!I126</f>
        <v>53</v>
      </c>
      <c r="N187" s="90">
        <f>Assumptions!J126</f>
        <v>50</v>
      </c>
      <c r="O187" s="90">
        <f>Assumptions!K126</f>
        <v>50</v>
      </c>
      <c r="P187" s="90">
        <f>Assumptions!L126</f>
        <v>50</v>
      </c>
      <c r="Q187" s="90">
        <f>Assumptions!M126</f>
        <v>50</v>
      </c>
    </row>
    <row r="188" spans="2:17">
      <c r="B188" s="110" t="s">
        <v>24</v>
      </c>
      <c r="E188" s="72" t="s">
        <v>107</v>
      </c>
      <c r="F188" s="53">
        <v>56.027254729114595</v>
      </c>
      <c r="G188" s="53">
        <v>66.098963192683215</v>
      </c>
      <c r="H188" s="53">
        <v>83.988589888618165</v>
      </c>
      <c r="I188" s="53">
        <v>87.768861331807472</v>
      </c>
      <c r="J188" s="53">
        <v>62.129518793392393</v>
      </c>
      <c r="K188" s="53">
        <v>92.728325672250904</v>
      </c>
      <c r="L188" s="90">
        <f>Assumptions!H127</f>
        <v>70</v>
      </c>
      <c r="M188" s="90">
        <f>Assumptions!I127</f>
        <v>75</v>
      </c>
      <c r="N188" s="90">
        <f>Assumptions!J127</f>
        <v>75</v>
      </c>
      <c r="O188" s="90">
        <f>Assumptions!K127</f>
        <v>75</v>
      </c>
      <c r="P188" s="90">
        <f>Assumptions!L127</f>
        <v>75</v>
      </c>
      <c r="Q188" s="90">
        <f>Assumptions!M127</f>
        <v>70</v>
      </c>
    </row>
    <row r="189" spans="2:17">
      <c r="B189" s="110" t="s">
        <v>91</v>
      </c>
      <c r="E189" s="72" t="s">
        <v>107</v>
      </c>
      <c r="F189" s="53">
        <v>200.92168961979218</v>
      </c>
      <c r="G189" s="53">
        <v>219.16595487457127</v>
      </c>
      <c r="H189" s="53">
        <v>205.62217194570135</v>
      </c>
      <c r="I189" s="53">
        <v>246.50262177905762</v>
      </c>
      <c r="J189" s="53">
        <v>234.36463026240381</v>
      </c>
      <c r="K189" s="53">
        <v>288.68102302681746</v>
      </c>
      <c r="L189" s="90">
        <f>Assumptions!H128</f>
        <v>289</v>
      </c>
      <c r="M189" s="90">
        <f>Assumptions!I128</f>
        <v>270</v>
      </c>
      <c r="N189" s="90">
        <f>Assumptions!J128</f>
        <v>250</v>
      </c>
      <c r="O189" s="90">
        <f>Assumptions!K128</f>
        <v>230</v>
      </c>
      <c r="P189" s="90">
        <f>Assumptions!L128</f>
        <v>220</v>
      </c>
      <c r="Q189" s="90">
        <f>Assumptions!M128</f>
        <v>210</v>
      </c>
    </row>
    <row r="191" spans="2:17">
      <c r="B191" s="3" t="s">
        <v>368</v>
      </c>
    </row>
    <row r="192" spans="2:17">
      <c r="B192" s="110" t="s">
        <v>90</v>
      </c>
      <c r="E192" s="72" t="s">
        <v>98</v>
      </c>
      <c r="F192" s="84">
        <v>1.6525378259469901E-2</v>
      </c>
      <c r="G192" s="84">
        <v>6.4048143571006399E-3</v>
      </c>
      <c r="H192" s="84">
        <v>7.7739049940019076E-3</v>
      </c>
      <c r="I192" s="84">
        <v>4.7861821216684513E-3</v>
      </c>
      <c r="J192" s="84">
        <v>8.4952358038276315E-3</v>
      </c>
      <c r="K192" s="84">
        <v>1.0818760902774182E-2</v>
      </c>
      <c r="L192" s="122">
        <f>Assumptions!H130</f>
        <v>0.01</v>
      </c>
      <c r="M192" s="122">
        <f>Assumptions!I130</f>
        <v>0.01</v>
      </c>
      <c r="N192" s="122">
        <f>Assumptions!J130</f>
        <v>0.01</v>
      </c>
      <c r="O192" s="122">
        <f>Assumptions!K130</f>
        <v>0.01</v>
      </c>
      <c r="P192" s="122">
        <f>Assumptions!L130</f>
        <v>0.01</v>
      </c>
      <c r="Q192" s="122">
        <f>Assumptions!M130</f>
        <v>0.01</v>
      </c>
    </row>
    <row r="193" spans="2:17">
      <c r="B193" s="110" t="s">
        <v>128</v>
      </c>
      <c r="E193" s="72" t="s">
        <v>98</v>
      </c>
      <c r="F193" s="84">
        <v>0.1807346997174232</v>
      </c>
      <c r="G193" s="84">
        <v>0.21246574606415561</v>
      </c>
      <c r="H193" s="84">
        <v>0.37477211973513935</v>
      </c>
      <c r="I193" s="84">
        <v>0.45289112252118219</v>
      </c>
      <c r="J193" s="84">
        <v>0.40480630083961661</v>
      </c>
      <c r="K193" s="84">
        <v>0.42420611215406634</v>
      </c>
      <c r="L193" s="122">
        <f>Assumptions!H131</f>
        <v>0.42</v>
      </c>
      <c r="M193" s="122">
        <f>Assumptions!I131</f>
        <v>0.41</v>
      </c>
      <c r="N193" s="122">
        <f>Assumptions!J131</f>
        <v>0.4</v>
      </c>
      <c r="O193" s="122">
        <f>Assumptions!K131</f>
        <v>0.4</v>
      </c>
      <c r="P193" s="122">
        <f>Assumptions!L131</f>
        <v>0.4</v>
      </c>
      <c r="Q193" s="122">
        <f>Assumptions!M131</f>
        <v>0.38</v>
      </c>
    </row>
    <row r="194" spans="2:17">
      <c r="B194" s="110" t="s">
        <v>129</v>
      </c>
      <c r="E194" s="72" t="s">
        <v>98</v>
      </c>
      <c r="F194" s="84">
        <v>0.12587902850806595</v>
      </c>
      <c r="G194" s="84">
        <v>8.8114555907796474E-2</v>
      </c>
      <c r="H194" s="84">
        <v>0.15234681251003615</v>
      </c>
      <c r="I194" s="84">
        <v>0.19122593755102779</v>
      </c>
      <c r="J194" s="84">
        <v>0.17073619479954286</v>
      </c>
      <c r="K194" s="84">
        <v>0.18983112159222043</v>
      </c>
      <c r="L194" s="122">
        <f>Assumptions!H132</f>
        <v>0.19</v>
      </c>
      <c r="M194" s="122">
        <f>Assumptions!I132</f>
        <v>0.2</v>
      </c>
      <c r="N194" s="122">
        <f>Assumptions!J132</f>
        <v>0.2</v>
      </c>
      <c r="O194" s="122">
        <f>Assumptions!K132</f>
        <v>0.2</v>
      </c>
      <c r="P194" s="122">
        <f>Assumptions!L132</f>
        <v>0.2</v>
      </c>
      <c r="Q194" s="122">
        <f>Assumptions!M132</f>
        <v>0.18</v>
      </c>
    </row>
    <row r="195" spans="2:17">
      <c r="E195" s="72"/>
      <c r="F195" s="84"/>
      <c r="G195" s="84"/>
      <c r="H195" s="84"/>
      <c r="I195" s="84"/>
      <c r="J195" s="84"/>
      <c r="K195" s="84"/>
      <c r="L195" s="130"/>
      <c r="M195" s="130"/>
      <c r="N195" s="130"/>
      <c r="O195" s="130"/>
      <c r="P195" s="130"/>
      <c r="Q195" s="130"/>
    </row>
    <row r="196" spans="2:17">
      <c r="E196" s="72"/>
      <c r="F196" s="84"/>
      <c r="G196" s="84"/>
      <c r="H196" s="84"/>
      <c r="I196" s="84"/>
      <c r="J196" s="84"/>
      <c r="K196" s="84"/>
      <c r="L196" s="130"/>
      <c r="M196" s="130"/>
      <c r="N196" s="130"/>
      <c r="O196" s="130"/>
      <c r="P196" s="130"/>
      <c r="Q196" s="130"/>
    </row>
    <row r="197" spans="2:17">
      <c r="B197" s="118"/>
      <c r="C197" s="46"/>
      <c r="D197" s="46"/>
      <c r="E197" s="46"/>
      <c r="F197" s="69"/>
      <c r="G197" s="69"/>
      <c r="H197" s="69"/>
      <c r="I197" s="69"/>
      <c r="J197" s="69"/>
      <c r="K197" s="69"/>
      <c r="L197" s="69"/>
      <c r="M197" s="69"/>
      <c r="N197" s="69"/>
      <c r="O197" s="69"/>
      <c r="P197" s="69"/>
      <c r="Q197" s="69"/>
    </row>
    <row r="198" spans="2:17">
      <c r="B198" s="3" t="s">
        <v>369</v>
      </c>
    </row>
    <row r="199" spans="2:17">
      <c r="B199" s="110" t="s">
        <v>23</v>
      </c>
      <c r="F199" s="53">
        <v>1786.8</v>
      </c>
      <c r="G199" s="53">
        <v>1310.3</v>
      </c>
      <c r="H199" s="53">
        <v>3028</v>
      </c>
      <c r="I199" s="53">
        <v>5323.8</v>
      </c>
      <c r="J199" s="53">
        <v>4334.1000000000004</v>
      </c>
      <c r="K199" s="53">
        <v>4477.5</v>
      </c>
      <c r="L199" s="90">
        <f>L181*(L187/L180)</f>
        <v>5028.3359250604353</v>
      </c>
      <c r="M199" s="90">
        <f t="shared" ref="M199:Q199" si="100">M181*(M187/M180)</f>
        <v>5526.2533950216093</v>
      </c>
      <c r="N199" s="90">
        <f t="shared" si="100"/>
        <v>5737.3336547475647</v>
      </c>
      <c r="O199" s="90">
        <f t="shared" si="100"/>
        <v>6329.5078686227644</v>
      </c>
      <c r="P199" s="90">
        <f t="shared" si="100"/>
        <v>6996.1269658614983</v>
      </c>
      <c r="Q199" s="90">
        <f t="shared" si="100"/>
        <v>7267.1016068660638</v>
      </c>
    </row>
    <row r="200" spans="2:17">
      <c r="B200" s="110" t="s">
        <v>24</v>
      </c>
      <c r="F200" s="53">
        <v>-1062.2</v>
      </c>
      <c r="G200" s="53">
        <v>-1378.1</v>
      </c>
      <c r="H200" s="53">
        <v>-2115.5</v>
      </c>
      <c r="I200" s="53">
        <v>-2563.5</v>
      </c>
      <c r="J200" s="53">
        <v>-2346.3000000000002</v>
      </c>
      <c r="K200" s="53">
        <v>-3498.5</v>
      </c>
      <c r="L200" s="90">
        <f>(L182*(L188/L180))</f>
        <v>-3129.1474273943304</v>
      </c>
      <c r="M200" s="90">
        <f t="shared" ref="M200:Q200" si="101">(M182*(M188/M180))</f>
        <v>-3666.0277117192891</v>
      </c>
      <c r="N200" s="90">
        <f t="shared" si="101"/>
        <v>-3948.324731146387</v>
      </c>
      <c r="O200" s="90">
        <f t="shared" si="101"/>
        <v>-4260.6621589019833</v>
      </c>
      <c r="P200" s="90">
        <f t="shared" si="101"/>
        <v>-4604.0075551527198</v>
      </c>
      <c r="Q200" s="90">
        <f t="shared" si="101"/>
        <v>-4405.0069096893485</v>
      </c>
    </row>
    <row r="201" spans="2:17">
      <c r="B201" s="110" t="s">
        <v>91</v>
      </c>
      <c r="F201" s="53">
        <v>3809.2</v>
      </c>
      <c r="G201" s="53">
        <v>4569.3999999999996</v>
      </c>
      <c r="H201" s="53">
        <v>5179.2</v>
      </c>
      <c r="I201" s="53">
        <v>7199.6999999999989</v>
      </c>
      <c r="J201" s="53">
        <v>8850.7000000000007</v>
      </c>
      <c r="K201" s="53">
        <v>10891.500000000002</v>
      </c>
      <c r="L201" s="90">
        <f>-L182*(L189/L180)</f>
        <v>12918.90866452802</v>
      </c>
      <c r="M201" s="90">
        <f t="shared" ref="M201:Q201" si="102">-M182*(M189/M180)</f>
        <v>13197.699762189441</v>
      </c>
      <c r="N201" s="90">
        <f t="shared" si="102"/>
        <v>13161.082437154622</v>
      </c>
      <c r="O201" s="90">
        <f t="shared" si="102"/>
        <v>13066.030620632748</v>
      </c>
      <c r="P201" s="90">
        <f t="shared" si="102"/>
        <v>13505.088828447979</v>
      </c>
      <c r="Q201" s="90">
        <f t="shared" si="102"/>
        <v>13215.020729068045</v>
      </c>
    </row>
    <row r="202" spans="2:17" s="3" customFormat="1">
      <c r="B202" s="111" t="s">
        <v>28</v>
      </c>
      <c r="F202" s="86">
        <f t="shared" ref="F202:K202" si="103">SUM(F199:F201)</f>
        <v>4533.7999999999993</v>
      </c>
      <c r="G202" s="86">
        <f t="shared" si="103"/>
        <v>4501.5999999999995</v>
      </c>
      <c r="H202" s="86">
        <f t="shared" si="103"/>
        <v>6091.7</v>
      </c>
      <c r="I202" s="86">
        <f t="shared" si="103"/>
        <v>9960</v>
      </c>
      <c r="J202" s="86">
        <f t="shared" si="103"/>
        <v>10838.5</v>
      </c>
      <c r="K202" s="86">
        <f t="shared" si="103"/>
        <v>11870.500000000002</v>
      </c>
      <c r="L202" s="93">
        <f>SUM(L199:L201)</f>
        <v>14818.097162194124</v>
      </c>
      <c r="M202" s="93">
        <f t="shared" ref="M202:Q202" si="104">SUM(M199:M201)</f>
        <v>15057.925445491761</v>
      </c>
      <c r="N202" s="93">
        <f t="shared" si="104"/>
        <v>14950.0913607558</v>
      </c>
      <c r="O202" s="93">
        <f t="shared" si="104"/>
        <v>15134.876330353529</v>
      </c>
      <c r="P202" s="93">
        <f t="shared" si="104"/>
        <v>15897.208239156756</v>
      </c>
      <c r="Q202" s="93">
        <f t="shared" si="104"/>
        <v>16077.11542624476</v>
      </c>
    </row>
    <row r="203" spans="2:17">
      <c r="F203" s="121"/>
      <c r="G203" s="121"/>
      <c r="H203" s="121"/>
      <c r="I203" s="121"/>
      <c r="J203" s="121"/>
      <c r="K203" s="121"/>
    </row>
    <row r="204" spans="2:17">
      <c r="B204" s="110" t="s">
        <v>90</v>
      </c>
      <c r="F204" s="53">
        <v>231</v>
      </c>
      <c r="G204" s="53">
        <v>119.2</v>
      </c>
      <c r="H204" s="53">
        <v>164.6</v>
      </c>
      <c r="I204" s="53">
        <v>131.9</v>
      </c>
      <c r="J204" s="53">
        <v>240.09999999999997</v>
      </c>
      <c r="K204" s="53">
        <v>320.60000000000002</v>
      </c>
      <c r="L204" s="90">
        <f>L192*L181</f>
        <v>333.69865684491981</v>
      </c>
      <c r="M204" s="90">
        <f t="shared" ref="M204:Q204" si="105">M192*M181</f>
        <v>380.58160173262036</v>
      </c>
      <c r="N204" s="90">
        <f t="shared" si="105"/>
        <v>418.82535679657224</v>
      </c>
      <c r="O204" s="90">
        <f t="shared" si="105"/>
        <v>462.05407440946186</v>
      </c>
      <c r="P204" s="90">
        <f t="shared" si="105"/>
        <v>510.7172685078894</v>
      </c>
      <c r="Q204" s="90">
        <f t="shared" si="105"/>
        <v>530.49841730122262</v>
      </c>
    </row>
    <row r="205" spans="2:17">
      <c r="B205" s="110" t="s">
        <v>128</v>
      </c>
      <c r="F205" s="53">
        <v>-2526.4</v>
      </c>
      <c r="G205" s="53">
        <v>-3954.2</v>
      </c>
      <c r="H205" s="53">
        <v>-7935.2</v>
      </c>
      <c r="I205" s="53">
        <v>-12481</v>
      </c>
      <c r="J205" s="53">
        <v>-11441</v>
      </c>
      <c r="K205" s="53">
        <v>-12570.8</v>
      </c>
      <c r="L205" s="90">
        <f>-(L193*L181)</f>
        <v>-14015.343587486632</v>
      </c>
      <c r="M205" s="90">
        <f t="shared" ref="M205:Q205" si="106">-(M193*M181)</f>
        <v>-15603.845671037432</v>
      </c>
      <c r="N205" s="90">
        <f t="shared" si="106"/>
        <v>-16753.014271862889</v>
      </c>
      <c r="O205" s="90">
        <f t="shared" si="106"/>
        <v>-18482.162976378473</v>
      </c>
      <c r="P205" s="90">
        <f t="shared" si="106"/>
        <v>-20428.690740315578</v>
      </c>
      <c r="Q205" s="90">
        <f t="shared" si="106"/>
        <v>-20158.939857446461</v>
      </c>
    </row>
    <row r="206" spans="2:17">
      <c r="B206" s="110" t="s">
        <v>129</v>
      </c>
      <c r="F206" s="53">
        <v>-1759.6</v>
      </c>
      <c r="G206" s="53">
        <v>-1639.9</v>
      </c>
      <c r="H206" s="53">
        <v>-3225.7</v>
      </c>
      <c r="I206" s="53">
        <v>-5269.9</v>
      </c>
      <c r="J206" s="53">
        <v>-4825.5</v>
      </c>
      <c r="K206" s="53">
        <v>-5625.4</v>
      </c>
      <c r="L206" s="90">
        <f>-(L194*L181)</f>
        <v>-6340.2744800534765</v>
      </c>
      <c r="M206" s="90">
        <f t="shared" ref="M206:Q206" si="107">-(M194*M181)</f>
        <v>-7611.6320346524071</v>
      </c>
      <c r="N206" s="90">
        <f t="shared" si="107"/>
        <v>-8376.5071359314443</v>
      </c>
      <c r="O206" s="90">
        <f t="shared" si="107"/>
        <v>-9241.0814881892366</v>
      </c>
      <c r="P206" s="90">
        <f t="shared" si="107"/>
        <v>-10214.345370157789</v>
      </c>
      <c r="Q206" s="90">
        <f t="shared" si="107"/>
        <v>-9548.9715114220071</v>
      </c>
    </row>
    <row r="207" spans="2:17" s="3" customFormat="1">
      <c r="B207" s="111" t="s">
        <v>28</v>
      </c>
      <c r="F207" s="86">
        <f>SUM(F204:F206)</f>
        <v>-4055</v>
      </c>
      <c r="G207" s="86">
        <f t="shared" ref="G207:K207" si="108">SUM(G204:G206)</f>
        <v>-5474.9</v>
      </c>
      <c r="H207" s="86">
        <f t="shared" si="108"/>
        <v>-10996.3</v>
      </c>
      <c r="I207" s="86">
        <f t="shared" si="108"/>
        <v>-17619</v>
      </c>
      <c r="J207" s="86">
        <f t="shared" si="108"/>
        <v>-16026.4</v>
      </c>
      <c r="K207" s="86">
        <f t="shared" si="108"/>
        <v>-17875.599999999999</v>
      </c>
      <c r="L207" s="93">
        <f t="shared" ref="L207" si="109">SUM(L204:L206)</f>
        <v>-20021.919410695191</v>
      </c>
      <c r="M207" s="93">
        <f t="shared" ref="M207" si="110">SUM(M204:M206)</f>
        <v>-22834.89610395722</v>
      </c>
      <c r="N207" s="93">
        <f t="shared" ref="N207" si="111">SUM(N204:N206)</f>
        <v>-24710.696050997758</v>
      </c>
      <c r="O207" s="93">
        <f t="shared" ref="O207" si="112">SUM(O204:O206)</f>
        <v>-27261.190390158248</v>
      </c>
      <c r="P207" s="93">
        <f t="shared" ref="P207" si="113">SUM(P204:P206)</f>
        <v>-30132.31884196548</v>
      </c>
      <c r="Q207" s="93">
        <f t="shared" ref="Q207" si="114">SUM(Q204:Q206)</f>
        <v>-29177.412951567247</v>
      </c>
    </row>
    <row r="208" spans="2:17" s="3" customFormat="1">
      <c r="B208" s="111"/>
      <c r="F208" s="58"/>
      <c r="G208" s="58"/>
      <c r="H208" s="58"/>
      <c r="I208" s="58"/>
      <c r="J208" s="58"/>
      <c r="K208" s="58"/>
      <c r="L208" s="53"/>
      <c r="M208" s="53"/>
      <c r="N208" s="53"/>
      <c r="O208" s="53"/>
      <c r="P208" s="53"/>
      <c r="Q208" s="53"/>
    </row>
    <row r="209" spans="1:17" s="3" customFormat="1">
      <c r="B209" s="111"/>
      <c r="F209" s="58"/>
      <c r="G209" s="58"/>
      <c r="H209" s="58"/>
      <c r="I209" s="58"/>
      <c r="J209" s="58"/>
      <c r="K209" s="58"/>
      <c r="L209" s="53"/>
      <c r="M209" s="53"/>
      <c r="N209" s="53"/>
      <c r="O209" s="53"/>
      <c r="P209" s="53"/>
      <c r="Q209" s="53"/>
    </row>
    <row r="210" spans="1:17">
      <c r="B210" s="118"/>
      <c r="C210" s="46"/>
      <c r="D210" s="46"/>
      <c r="E210" s="46"/>
      <c r="F210" s="69"/>
      <c r="G210" s="69"/>
      <c r="H210" s="69"/>
      <c r="I210" s="69"/>
      <c r="J210" s="69"/>
      <c r="K210" s="69"/>
      <c r="L210" s="69"/>
      <c r="M210" s="69"/>
      <c r="N210" s="69"/>
      <c r="O210" s="69"/>
      <c r="P210" s="69"/>
      <c r="Q210" s="69"/>
    </row>
    <row r="211" spans="1:17">
      <c r="B211" s="3" t="s">
        <v>370</v>
      </c>
    </row>
    <row r="212" spans="1:17">
      <c r="B212" s="110" t="s">
        <v>133</v>
      </c>
      <c r="F212" s="69">
        <v>-671.8</v>
      </c>
      <c r="G212" s="69">
        <v>135.09999999999991</v>
      </c>
      <c r="H212" s="69">
        <v>-1520.7</v>
      </c>
      <c r="I212" s="69">
        <v>-4013.6000000000004</v>
      </c>
      <c r="J212" s="69">
        <v>-948.10000000000014</v>
      </c>
      <c r="K212" s="161">
        <v>-874.1</v>
      </c>
      <c r="L212" s="97">
        <f t="shared" ref="L212:Q212" si="115">-(L202-K202)</f>
        <v>-2947.5971621941226</v>
      </c>
      <c r="M212" s="97">
        <f t="shared" si="115"/>
        <v>-239.82828329763652</v>
      </c>
      <c r="N212" s="97">
        <f t="shared" si="115"/>
        <v>107.83408473596137</v>
      </c>
      <c r="O212" s="97">
        <f t="shared" si="115"/>
        <v>-184.78496959772929</v>
      </c>
      <c r="P212" s="97">
        <f t="shared" si="115"/>
        <v>-762.33190880322763</v>
      </c>
      <c r="Q212" s="98">
        <f t="shared" si="115"/>
        <v>-179.90718708800341</v>
      </c>
    </row>
    <row r="213" spans="1:17">
      <c r="B213" s="110" t="s">
        <v>47</v>
      </c>
      <c r="F213" s="53">
        <v>975.3</v>
      </c>
      <c r="G213" s="53">
        <v>1198.3</v>
      </c>
      <c r="H213" s="53">
        <v>5529.8</v>
      </c>
      <c r="I213" s="53">
        <v>6632.7</v>
      </c>
      <c r="J213" s="53">
        <v>-1564.6</v>
      </c>
      <c r="K213" s="162">
        <v>1871.8</v>
      </c>
      <c r="L213" s="90">
        <f t="shared" ref="L213:Q213" si="116">-(L207-K207)</f>
        <v>2146.3194106951923</v>
      </c>
      <c r="M213" s="90">
        <f t="shared" si="116"/>
        <v>2812.9766932620296</v>
      </c>
      <c r="N213" s="90">
        <f t="shared" si="116"/>
        <v>1875.7999470405375</v>
      </c>
      <c r="O213" s="90">
        <f t="shared" si="116"/>
        <v>2550.4943391604902</v>
      </c>
      <c r="P213" s="90">
        <f t="shared" si="116"/>
        <v>2871.1284518072316</v>
      </c>
      <c r="Q213" s="99">
        <f t="shared" si="116"/>
        <v>-954.90589039823317</v>
      </c>
    </row>
    <row r="214" spans="1:17">
      <c r="B214" s="110" t="s">
        <v>230</v>
      </c>
      <c r="F214" s="62">
        <f t="shared" ref="F214:K214" si="117">F48</f>
        <v>386.2999999999999</v>
      </c>
      <c r="G214" s="62">
        <f t="shared" si="117"/>
        <v>659.2</v>
      </c>
      <c r="H214" s="62">
        <f t="shared" si="117"/>
        <v>531.89999999999964</v>
      </c>
      <c r="I214" s="62">
        <f t="shared" si="117"/>
        <v>106.60000000000036</v>
      </c>
      <c r="J214" s="62">
        <f t="shared" si="117"/>
        <v>-258.39999999999986</v>
      </c>
      <c r="K214" s="163">
        <f t="shared" si="117"/>
        <v>822.29999999999984</v>
      </c>
      <c r="L214" s="90">
        <v>0</v>
      </c>
      <c r="M214" s="90">
        <v>0</v>
      </c>
      <c r="N214" s="90">
        <v>0</v>
      </c>
      <c r="O214" s="90">
        <v>0</v>
      </c>
      <c r="P214" s="90">
        <v>0</v>
      </c>
      <c r="Q214" s="90">
        <v>0</v>
      </c>
    </row>
    <row r="215" spans="1:17">
      <c r="B215" s="111" t="s">
        <v>28</v>
      </c>
      <c r="F215" s="58">
        <f t="shared" ref="F215:Q215" si="118">SUM(F212:F214)</f>
        <v>689.8</v>
      </c>
      <c r="G215" s="58">
        <f t="shared" si="118"/>
        <v>1992.6</v>
      </c>
      <c r="H215" s="58">
        <f t="shared" si="118"/>
        <v>4541</v>
      </c>
      <c r="I215" s="58">
        <f t="shared" si="118"/>
        <v>2725.7</v>
      </c>
      <c r="J215" s="58">
        <f t="shared" si="118"/>
        <v>-2771.0999999999995</v>
      </c>
      <c r="K215" s="58">
        <f t="shared" si="118"/>
        <v>1819.9999999999998</v>
      </c>
      <c r="L215" s="93">
        <f t="shared" si="118"/>
        <v>-801.27775149893023</v>
      </c>
      <c r="M215" s="93">
        <f t="shared" si="118"/>
        <v>2573.1484099643931</v>
      </c>
      <c r="N215" s="93">
        <f t="shared" si="118"/>
        <v>1983.6340317764989</v>
      </c>
      <c r="O215" s="93">
        <f t="shared" si="118"/>
        <v>2365.7093695627609</v>
      </c>
      <c r="P215" s="93">
        <f t="shared" si="118"/>
        <v>2108.796543004004</v>
      </c>
      <c r="Q215" s="93">
        <f t="shared" si="118"/>
        <v>-1134.8130774862366</v>
      </c>
    </row>
    <row r="217" spans="1:17">
      <c r="F217" s="84"/>
      <c r="G217" s="84"/>
      <c r="H217" s="84"/>
      <c r="I217" s="84"/>
      <c r="J217" s="84"/>
      <c r="K217" s="84"/>
    </row>
    <row r="218" spans="1:17" ht="24">
      <c r="A218" s="1" t="s">
        <v>160</v>
      </c>
      <c r="B218" s="139" t="s">
        <v>256</v>
      </c>
      <c r="C218" s="140"/>
      <c r="D218" s="140"/>
      <c r="E218" s="140"/>
      <c r="F218" s="140"/>
      <c r="G218" s="140"/>
      <c r="H218" s="140"/>
      <c r="I218" s="140"/>
      <c r="J218" s="140"/>
      <c r="K218" s="140"/>
      <c r="L218" s="140"/>
      <c r="M218" s="140"/>
      <c r="N218" s="140"/>
      <c r="O218" s="140"/>
      <c r="P218" s="140"/>
      <c r="Q218" s="140"/>
    </row>
    <row r="219" spans="1:17">
      <c r="B219" s="126"/>
      <c r="C219" s="127"/>
      <c r="D219" s="127"/>
      <c r="E219" s="127"/>
      <c r="F219" s="127"/>
      <c r="G219" s="127"/>
      <c r="H219" s="127"/>
      <c r="I219" s="127"/>
      <c r="J219" s="127"/>
      <c r="K219" s="127"/>
      <c r="L219" s="127"/>
      <c r="M219" s="127"/>
      <c r="N219" s="127"/>
      <c r="O219" s="127"/>
      <c r="P219" s="127"/>
      <c r="Q219" s="127"/>
    </row>
    <row r="220" spans="1:17">
      <c r="B220" s="116" t="s">
        <v>130</v>
      </c>
      <c r="C220" s="71"/>
      <c r="D220" s="71"/>
      <c r="E220" s="71"/>
      <c r="F220" s="80"/>
      <c r="G220" s="80"/>
      <c r="H220" s="80"/>
      <c r="I220" s="80"/>
      <c r="J220" s="80"/>
      <c r="K220" s="80"/>
      <c r="L220" s="80"/>
      <c r="M220" s="80"/>
      <c r="N220" s="80"/>
      <c r="O220" s="80"/>
      <c r="P220" s="80"/>
      <c r="Q220" s="80"/>
    </row>
    <row r="221" spans="1:17">
      <c r="B221" s="117" t="str">
        <f>CONCATENATE("Running ", CHOOSE(Assumptions!$B$7,Assumptions!$B$13,Assumptions!$B$14,Assumptions!$B$15)," Model")</f>
        <v>Running Base Case Model</v>
      </c>
      <c r="C221" s="80"/>
      <c r="D221" s="80"/>
      <c r="E221" s="80"/>
      <c r="F221" s="80"/>
      <c r="G221" s="80"/>
      <c r="H221" s="80"/>
      <c r="I221" s="80"/>
      <c r="J221" s="80"/>
      <c r="K221" s="80"/>
      <c r="L221" s="81" t="s">
        <v>86</v>
      </c>
      <c r="M221" s="81"/>
      <c r="N221" s="81"/>
      <c r="O221" s="81"/>
      <c r="P221" s="81"/>
      <c r="Q221" s="81"/>
    </row>
    <row r="222" spans="1:17">
      <c r="B222" s="113"/>
      <c r="C222" s="80"/>
      <c r="D222" s="80"/>
      <c r="E222" s="80"/>
      <c r="F222" s="83" t="s">
        <v>38</v>
      </c>
      <c r="G222" s="83" t="s">
        <v>10</v>
      </c>
      <c r="H222" s="83" t="s">
        <v>11</v>
      </c>
      <c r="I222" s="83" t="s">
        <v>12</v>
      </c>
      <c r="J222" s="83" t="s">
        <v>13</v>
      </c>
      <c r="K222" s="83" t="s">
        <v>14</v>
      </c>
      <c r="L222" s="83" t="s">
        <v>15</v>
      </c>
      <c r="M222" s="83" t="s">
        <v>78</v>
      </c>
      <c r="N222" s="83" t="s">
        <v>79</v>
      </c>
      <c r="O222" s="83" t="s">
        <v>80</v>
      </c>
      <c r="P222" s="83" t="s">
        <v>81</v>
      </c>
      <c r="Q222" s="44" t="s">
        <v>295</v>
      </c>
    </row>
    <row r="223" spans="1:17">
      <c r="B223" s="113"/>
      <c r="C223" s="80"/>
      <c r="D223" s="80"/>
      <c r="E223" s="80"/>
      <c r="F223" s="169"/>
      <c r="G223" s="169"/>
      <c r="H223" s="169"/>
      <c r="I223" s="169"/>
      <c r="J223" s="169"/>
      <c r="K223" s="169"/>
      <c r="L223" s="169"/>
      <c r="M223" s="169"/>
      <c r="N223" s="169"/>
      <c r="O223" s="169"/>
      <c r="P223" s="169"/>
      <c r="Q223" s="169"/>
    </row>
    <row r="224" spans="1:17">
      <c r="B224" s="110" t="s">
        <v>0</v>
      </c>
      <c r="F224" s="53">
        <f t="shared" ref="F224:Q224" si="119">F153</f>
        <v>11820</v>
      </c>
      <c r="G224" s="53">
        <f t="shared" si="119"/>
        <v>13978.5</v>
      </c>
      <c r="H224" s="53">
        <f t="shared" si="119"/>
        <v>18611</v>
      </c>
      <c r="I224" s="53">
        <f t="shared" si="119"/>
        <v>21173.4</v>
      </c>
      <c r="J224" s="53">
        <f t="shared" si="119"/>
        <v>27558.5</v>
      </c>
      <c r="K224" s="53">
        <f t="shared" si="119"/>
        <v>28262.9</v>
      </c>
      <c r="L224" s="90">
        <f t="shared" si="119"/>
        <v>33369.865684491982</v>
      </c>
      <c r="M224" s="90">
        <f t="shared" si="119"/>
        <v>38058.160173262033</v>
      </c>
      <c r="N224" s="90">
        <f t="shared" si="119"/>
        <v>41882.535679657223</v>
      </c>
      <c r="O224" s="90">
        <f t="shared" si="119"/>
        <v>46205.407440946183</v>
      </c>
      <c r="P224" s="90">
        <f t="shared" si="119"/>
        <v>51071.726850788938</v>
      </c>
      <c r="Q224" s="90">
        <f t="shared" si="119"/>
        <v>53049.841730122265</v>
      </c>
    </row>
    <row r="225" spans="2:17">
      <c r="B225" s="110" t="s">
        <v>135</v>
      </c>
      <c r="F225" s="53">
        <f t="shared" ref="F225:K225" si="120">-F52</f>
        <v>766.6</v>
      </c>
      <c r="G225" s="53">
        <f t="shared" si="120"/>
        <v>962</v>
      </c>
      <c r="H225" s="53">
        <f t="shared" si="120"/>
        <v>900.7</v>
      </c>
      <c r="I225" s="53">
        <f t="shared" si="120"/>
        <v>1281.8</v>
      </c>
      <c r="J225" s="53">
        <f t="shared" si="120"/>
        <v>2155.6</v>
      </c>
      <c r="K225" s="53">
        <f t="shared" si="120"/>
        <v>2067.1999999999998</v>
      </c>
      <c r="L225" s="90">
        <f>Assumptions!H93*Model!L224</f>
        <v>2335.8905979144388</v>
      </c>
      <c r="M225" s="90">
        <f>Assumptions!I93*Model!M224</f>
        <v>2473.7804112620324</v>
      </c>
      <c r="N225" s="90">
        <f>Assumptions!J93*Model!N224</f>
        <v>2512.9521407794332</v>
      </c>
      <c r="O225" s="90">
        <f>Assumptions!K93*Model!O224</f>
        <v>2541.2974092520399</v>
      </c>
      <c r="P225" s="90">
        <f>Assumptions!L93*Model!P224</f>
        <v>2553.5863425394473</v>
      </c>
      <c r="Q225" s="90">
        <f>Assumptions!M93*Model!Q224</f>
        <v>2387.2428778555018</v>
      </c>
    </row>
    <row r="226" spans="2:17">
      <c r="L226" s="1"/>
      <c r="M226" s="1"/>
      <c r="N226" s="1"/>
      <c r="O226" s="1"/>
      <c r="P226" s="1"/>
      <c r="Q226" s="1"/>
    </row>
    <row r="227" spans="2:17">
      <c r="B227" s="119"/>
      <c r="C227" s="45"/>
      <c r="D227" s="45"/>
      <c r="E227" s="45"/>
      <c r="F227" s="62"/>
      <c r="G227" s="62"/>
      <c r="H227" s="62"/>
      <c r="I227" s="62"/>
      <c r="J227" s="62"/>
      <c r="K227" s="62"/>
      <c r="L227" s="45"/>
      <c r="M227" s="45"/>
      <c r="N227" s="45"/>
      <c r="O227" s="45"/>
      <c r="P227" s="45"/>
      <c r="Q227" s="45"/>
    </row>
    <row r="228" spans="2:17">
      <c r="B228" s="1"/>
      <c r="F228" s="1"/>
      <c r="G228" s="1"/>
      <c r="H228" s="1"/>
      <c r="I228" s="1"/>
      <c r="J228" s="1"/>
      <c r="K228" s="1"/>
      <c r="L228" s="1"/>
      <c r="M228" s="1"/>
      <c r="N228" s="1"/>
      <c r="O228" s="1"/>
      <c r="P228" s="1"/>
      <c r="Q228" s="1"/>
    </row>
    <row r="229" spans="2:17">
      <c r="B229" s="3" t="s">
        <v>402</v>
      </c>
      <c r="F229" s="1"/>
      <c r="G229" s="1"/>
      <c r="H229" s="1"/>
      <c r="I229" s="1"/>
      <c r="J229" s="1"/>
      <c r="K229" s="1"/>
      <c r="L229" s="1"/>
      <c r="M229" s="1"/>
      <c r="N229" s="1"/>
      <c r="O229" s="1"/>
      <c r="P229" s="1"/>
      <c r="Q229" s="1"/>
    </row>
    <row r="231" spans="2:17" ht="19">
      <c r="B231" s="294" t="s">
        <v>419</v>
      </c>
      <c r="C231" s="295"/>
      <c r="D231" s="295"/>
      <c r="E231" s="295"/>
      <c r="F231" s="295"/>
      <c r="I231" s="114"/>
      <c r="L231" s="207" t="s">
        <v>262</v>
      </c>
      <c r="M231" s="157"/>
      <c r="N231" s="157"/>
      <c r="O231" s="157"/>
      <c r="P231" s="157"/>
      <c r="Q231" s="157"/>
    </row>
    <row r="232" spans="2:17">
      <c r="B232" s="110" t="s">
        <v>146</v>
      </c>
      <c r="E232" s="342">
        <f>Assumptions!E141</f>
        <v>7</v>
      </c>
      <c r="F232" s="154" t="s">
        <v>145</v>
      </c>
      <c r="I232" s="114"/>
      <c r="L232" s="56" t="s">
        <v>150</v>
      </c>
      <c r="M232" s="56" t="s">
        <v>151</v>
      </c>
      <c r="N232" s="56" t="s">
        <v>152</v>
      </c>
      <c r="O232" s="56" t="s">
        <v>153</v>
      </c>
      <c r="P232" s="56" t="s">
        <v>154</v>
      </c>
      <c r="Q232" s="56" t="s">
        <v>155</v>
      </c>
    </row>
    <row r="233" spans="2:17">
      <c r="B233" s="343" t="s">
        <v>147</v>
      </c>
      <c r="C233" s="295"/>
      <c r="D233" s="295"/>
      <c r="E233" s="333">
        <f>K88</f>
        <v>6846.8</v>
      </c>
      <c r="F233" s="344" t="s">
        <v>148</v>
      </c>
      <c r="I233" s="114"/>
      <c r="L233" s="346">
        <f>MIN($E232-SUM($K233:K233),1)</f>
        <v>1</v>
      </c>
      <c r="M233" s="347">
        <f>MIN($E232-SUM($K233:L233),1)</f>
        <v>1</v>
      </c>
      <c r="N233" s="347">
        <f>MIN($E232-SUM($K233:M233),1)</f>
        <v>1</v>
      </c>
      <c r="O233" s="347">
        <f>MIN($E232-SUM($K233:N233),1)</f>
        <v>1</v>
      </c>
      <c r="P233" s="347">
        <f>MIN($E232-SUM($K233:O233),1)</f>
        <v>1</v>
      </c>
      <c r="Q233" s="348">
        <f>MIN($E232-SUM($K233:P233),1)</f>
        <v>1</v>
      </c>
    </row>
    <row r="234" spans="2:17">
      <c r="B234" s="112"/>
      <c r="F234" s="1"/>
      <c r="I234" s="114"/>
    </row>
    <row r="236" spans="2:17" ht="19">
      <c r="B236" s="294" t="s">
        <v>418</v>
      </c>
      <c r="C236" s="295"/>
      <c r="D236" s="295"/>
      <c r="E236" s="295"/>
      <c r="F236" s="295"/>
      <c r="L236" s="207" t="s">
        <v>262</v>
      </c>
      <c r="M236" s="157"/>
      <c r="N236" s="157"/>
      <c r="O236" s="157"/>
      <c r="P236" s="157"/>
      <c r="Q236" s="157"/>
    </row>
    <row r="237" spans="2:17">
      <c r="B237" s="110" t="s">
        <v>146</v>
      </c>
      <c r="E237" s="212">
        <f>Assumptions!E142</f>
        <v>10</v>
      </c>
      <c r="F237" s="153" t="s">
        <v>145</v>
      </c>
      <c r="L237" s="56" t="s">
        <v>150</v>
      </c>
      <c r="M237" s="56" t="s">
        <v>151</v>
      </c>
      <c r="N237" s="56" t="s">
        <v>152</v>
      </c>
      <c r="O237" s="56" t="s">
        <v>153</v>
      </c>
      <c r="P237" s="56" t="s">
        <v>154</v>
      </c>
      <c r="Q237" s="56" t="s">
        <v>155</v>
      </c>
    </row>
    <row r="238" spans="2:17">
      <c r="B238" s="343" t="s">
        <v>156</v>
      </c>
      <c r="C238" s="295"/>
      <c r="D238" s="295"/>
      <c r="E238" s="345">
        <f>Assumptions!E143</f>
        <v>1</v>
      </c>
      <c r="F238" s="344" t="s">
        <v>98</v>
      </c>
      <c r="L238" s="346">
        <f>IF(K238="",$E$238,MIN($E237-SUM($K238:K238),1))</f>
        <v>1</v>
      </c>
      <c r="M238" s="347">
        <f>IF(L238="",$E$238,MIN($E237-SUM($K238:L238),1))</f>
        <v>1</v>
      </c>
      <c r="N238" s="347">
        <f>IF(M238="",$E$238,MIN($E237-SUM($K238:M238),1))</f>
        <v>1</v>
      </c>
      <c r="O238" s="347">
        <f>IF(N238="",$E$238,MIN($E237-SUM($K238:N238),1))</f>
        <v>1</v>
      </c>
      <c r="P238" s="347">
        <f>IF(O238="",$E$238,MIN($E237-SUM($K238:O238),1))</f>
        <v>1</v>
      </c>
      <c r="Q238" s="348">
        <f>IF(P238="",$E$238,MIN($E237-SUM($K238:P238),1))</f>
        <v>1</v>
      </c>
    </row>
    <row r="239" spans="2:17">
      <c r="B239" s="112"/>
    </row>
    <row r="241" spans="9:17">
      <c r="L241" s="207" t="s">
        <v>262</v>
      </c>
      <c r="M241" s="156"/>
      <c r="N241" s="156"/>
      <c r="O241" s="156"/>
      <c r="P241" s="156"/>
      <c r="Q241" s="156"/>
    </row>
    <row r="242" spans="9:17">
      <c r="I242" s="159" t="s">
        <v>158</v>
      </c>
      <c r="J242" s="159" t="s">
        <v>157</v>
      </c>
      <c r="L242" s="56" t="str">
        <f t="shared" ref="L242:Q242" si="121">L222</f>
        <v>2025F</v>
      </c>
      <c r="M242" s="56" t="str">
        <f t="shared" si="121"/>
        <v>2026F</v>
      </c>
      <c r="N242" s="56" t="str">
        <f t="shared" si="121"/>
        <v>2027F</v>
      </c>
      <c r="O242" s="56" t="str">
        <f t="shared" si="121"/>
        <v>2028F</v>
      </c>
      <c r="P242" s="56" t="str">
        <f t="shared" si="121"/>
        <v>2029F</v>
      </c>
      <c r="Q242" s="56" t="str">
        <f t="shared" si="121"/>
        <v>2030F</v>
      </c>
    </row>
    <row r="243" spans="9:17">
      <c r="I243" s="349" t="str" cm="1">
        <f t="array" ref="I243:I248">TRANSPOSE(L222:Q222)</f>
        <v>2025F</v>
      </c>
      <c r="J243" s="350">
        <f>$E$237</f>
        <v>10</v>
      </c>
      <c r="K243" s="351"/>
      <c r="L243" s="352">
        <f t="shared" ref="L243:Q243" si="122">L238</f>
        <v>1</v>
      </c>
      <c r="M243" s="353">
        <f t="shared" si="122"/>
        <v>1</v>
      </c>
      <c r="N243" s="353">
        <f t="shared" si="122"/>
        <v>1</v>
      </c>
      <c r="O243" s="353">
        <f t="shared" si="122"/>
        <v>1</v>
      </c>
      <c r="P243" s="353">
        <f t="shared" si="122"/>
        <v>1</v>
      </c>
      <c r="Q243" s="354">
        <f t="shared" si="122"/>
        <v>1</v>
      </c>
    </row>
    <row r="244" spans="9:17">
      <c r="I244" s="355" t="str">
        <v>2026F</v>
      </c>
      <c r="J244" s="166">
        <f t="shared" ref="J244:J248" si="123">$E$237</f>
        <v>10</v>
      </c>
      <c r="K244" s="162"/>
      <c r="L244" s="164">
        <f>K243</f>
        <v>0</v>
      </c>
      <c r="M244" s="356">
        <f t="shared" ref="M244:Q248" si="124">L243</f>
        <v>1</v>
      </c>
      <c r="N244" s="356">
        <f t="shared" si="124"/>
        <v>1</v>
      </c>
      <c r="O244" s="356">
        <f t="shared" si="124"/>
        <v>1</v>
      </c>
      <c r="P244" s="356">
        <f t="shared" si="124"/>
        <v>1</v>
      </c>
      <c r="Q244" s="357">
        <f t="shared" si="124"/>
        <v>1</v>
      </c>
    </row>
    <row r="245" spans="9:17">
      <c r="I245" s="355" t="str">
        <v>2027F</v>
      </c>
      <c r="J245" s="166">
        <f t="shared" si="123"/>
        <v>10</v>
      </c>
      <c r="K245" s="162"/>
      <c r="L245" s="164">
        <f t="shared" ref="L245:L248" si="125">K244</f>
        <v>0</v>
      </c>
      <c r="M245" s="356">
        <f t="shared" si="124"/>
        <v>0</v>
      </c>
      <c r="N245" s="356">
        <f t="shared" si="124"/>
        <v>1</v>
      </c>
      <c r="O245" s="356">
        <f t="shared" si="124"/>
        <v>1</v>
      </c>
      <c r="P245" s="356">
        <f t="shared" si="124"/>
        <v>1</v>
      </c>
      <c r="Q245" s="357">
        <f t="shared" si="124"/>
        <v>1</v>
      </c>
    </row>
    <row r="246" spans="9:17">
      <c r="I246" s="355" t="str">
        <v>2028F</v>
      </c>
      <c r="J246" s="166">
        <f t="shared" si="123"/>
        <v>10</v>
      </c>
      <c r="K246" s="162"/>
      <c r="L246" s="164">
        <f t="shared" si="125"/>
        <v>0</v>
      </c>
      <c r="M246" s="356">
        <f t="shared" si="124"/>
        <v>0</v>
      </c>
      <c r="N246" s="356">
        <f t="shared" si="124"/>
        <v>0</v>
      </c>
      <c r="O246" s="356">
        <f t="shared" si="124"/>
        <v>1</v>
      </c>
      <c r="P246" s="356">
        <f t="shared" si="124"/>
        <v>1</v>
      </c>
      <c r="Q246" s="357">
        <f t="shared" si="124"/>
        <v>1</v>
      </c>
    </row>
    <row r="247" spans="9:17">
      <c r="I247" s="355" t="str">
        <v>2029F</v>
      </c>
      <c r="J247" s="166">
        <f t="shared" si="123"/>
        <v>10</v>
      </c>
      <c r="K247" s="162"/>
      <c r="L247" s="164">
        <f t="shared" si="125"/>
        <v>0</v>
      </c>
      <c r="M247" s="356">
        <f t="shared" si="124"/>
        <v>0</v>
      </c>
      <c r="N247" s="356">
        <f t="shared" si="124"/>
        <v>0</v>
      </c>
      <c r="O247" s="356">
        <f t="shared" si="124"/>
        <v>0</v>
      </c>
      <c r="P247" s="356">
        <f t="shared" si="124"/>
        <v>1</v>
      </c>
      <c r="Q247" s="357">
        <f t="shared" si="124"/>
        <v>1</v>
      </c>
    </row>
    <row r="248" spans="9:17">
      <c r="I248" s="358" t="str">
        <v>2030F</v>
      </c>
      <c r="J248" s="359">
        <f t="shared" si="123"/>
        <v>10</v>
      </c>
      <c r="K248" s="360"/>
      <c r="L248" s="361">
        <f t="shared" si="125"/>
        <v>0</v>
      </c>
      <c r="M248" s="362">
        <f t="shared" si="124"/>
        <v>0</v>
      </c>
      <c r="N248" s="362">
        <f t="shared" si="124"/>
        <v>0</v>
      </c>
      <c r="O248" s="362">
        <f t="shared" si="124"/>
        <v>0</v>
      </c>
      <c r="P248" s="362">
        <f t="shared" si="124"/>
        <v>0</v>
      </c>
      <c r="Q248" s="363">
        <f t="shared" si="124"/>
        <v>1</v>
      </c>
    </row>
    <row r="251" spans="9:17">
      <c r="L251" s="207" t="s">
        <v>263</v>
      </c>
      <c r="M251" s="156"/>
      <c r="N251" s="156"/>
      <c r="O251" s="156"/>
      <c r="P251" s="156"/>
      <c r="Q251" s="156"/>
    </row>
    <row r="252" spans="9:17">
      <c r="I252" s="159" t="s">
        <v>158</v>
      </c>
      <c r="J252" s="159" t="s">
        <v>134</v>
      </c>
      <c r="K252" s="159" t="s">
        <v>159</v>
      </c>
      <c r="L252" s="56" t="str">
        <f t="shared" ref="L252:Q252" si="126">L222</f>
        <v>2025F</v>
      </c>
      <c r="M252" s="56" t="str">
        <f t="shared" si="126"/>
        <v>2026F</v>
      </c>
      <c r="N252" s="56" t="str">
        <f t="shared" si="126"/>
        <v>2027F</v>
      </c>
      <c r="O252" s="56" t="str">
        <f t="shared" si="126"/>
        <v>2028F</v>
      </c>
      <c r="P252" s="56" t="str">
        <f t="shared" si="126"/>
        <v>2029F</v>
      </c>
      <c r="Q252" s="56" t="str">
        <f t="shared" si="126"/>
        <v>2030F</v>
      </c>
    </row>
    <row r="253" spans="9:17">
      <c r="I253" s="349" t="str" cm="1">
        <f t="array" ref="I253:I258">TRANSPOSE(L222:Q222)</f>
        <v>2025F</v>
      </c>
      <c r="J253" s="364">
        <f t="shared" ref="J253:J258" si="127">_xlfn.XLOOKUP(I253,$L$222:$Q$222,$L$225:$Q$225)</f>
        <v>2335.8905979144388</v>
      </c>
      <c r="K253" s="364">
        <f>J253/J243</f>
        <v>233.58905979144387</v>
      </c>
      <c r="L253" s="365">
        <f>$K253*L243</f>
        <v>233.58905979144387</v>
      </c>
      <c r="M253" s="366">
        <f t="shared" ref="M253:Q253" si="128">$K253*M243</f>
        <v>233.58905979144387</v>
      </c>
      <c r="N253" s="366">
        <f t="shared" si="128"/>
        <v>233.58905979144387</v>
      </c>
      <c r="O253" s="366">
        <f t="shared" si="128"/>
        <v>233.58905979144387</v>
      </c>
      <c r="P253" s="366">
        <f t="shared" si="128"/>
        <v>233.58905979144387</v>
      </c>
      <c r="Q253" s="367">
        <f t="shared" si="128"/>
        <v>233.58905979144387</v>
      </c>
    </row>
    <row r="254" spans="9:17">
      <c r="I254" s="355" t="str">
        <v>2026F</v>
      </c>
      <c r="J254" s="368">
        <f t="shared" si="127"/>
        <v>2473.7804112620324</v>
      </c>
      <c r="K254" s="368">
        <f t="shared" ref="K254:K258" si="129">J254/J244</f>
        <v>247.37804112620324</v>
      </c>
      <c r="L254" s="160">
        <f t="shared" ref="L254:Q254" si="130">$K254*L244</f>
        <v>0</v>
      </c>
      <c r="M254" s="90">
        <f t="shared" si="130"/>
        <v>247.37804112620324</v>
      </c>
      <c r="N254" s="90">
        <f t="shared" si="130"/>
        <v>247.37804112620324</v>
      </c>
      <c r="O254" s="90">
        <f t="shared" si="130"/>
        <v>247.37804112620324</v>
      </c>
      <c r="P254" s="90">
        <f t="shared" si="130"/>
        <v>247.37804112620324</v>
      </c>
      <c r="Q254" s="369">
        <f t="shared" si="130"/>
        <v>247.37804112620324</v>
      </c>
    </row>
    <row r="255" spans="9:17">
      <c r="I255" s="355" t="str">
        <v>2027F</v>
      </c>
      <c r="J255" s="368">
        <f t="shared" si="127"/>
        <v>2512.9521407794332</v>
      </c>
      <c r="K255" s="368">
        <f t="shared" si="129"/>
        <v>251.29521407794331</v>
      </c>
      <c r="L255" s="160">
        <f t="shared" ref="L255:Q255" si="131">$K255*L245</f>
        <v>0</v>
      </c>
      <c r="M255" s="90">
        <f t="shared" si="131"/>
        <v>0</v>
      </c>
      <c r="N255" s="90">
        <f t="shared" si="131"/>
        <v>251.29521407794331</v>
      </c>
      <c r="O255" s="90">
        <f t="shared" si="131"/>
        <v>251.29521407794331</v>
      </c>
      <c r="P255" s="90">
        <f t="shared" si="131"/>
        <v>251.29521407794331</v>
      </c>
      <c r="Q255" s="369">
        <f t="shared" si="131"/>
        <v>251.29521407794331</v>
      </c>
    </row>
    <row r="256" spans="9:17">
      <c r="I256" s="355" t="str">
        <v>2028F</v>
      </c>
      <c r="J256" s="368">
        <f t="shared" si="127"/>
        <v>2541.2974092520399</v>
      </c>
      <c r="K256" s="368">
        <f t="shared" si="129"/>
        <v>254.12974092520398</v>
      </c>
      <c r="L256" s="160">
        <f t="shared" ref="L256:Q256" si="132">$K256*L246</f>
        <v>0</v>
      </c>
      <c r="M256" s="90">
        <f t="shared" si="132"/>
        <v>0</v>
      </c>
      <c r="N256" s="90">
        <f t="shared" si="132"/>
        <v>0</v>
      </c>
      <c r="O256" s="90">
        <f t="shared" si="132"/>
        <v>254.12974092520398</v>
      </c>
      <c r="P256" s="90">
        <f t="shared" si="132"/>
        <v>254.12974092520398</v>
      </c>
      <c r="Q256" s="369">
        <f t="shared" si="132"/>
        <v>254.12974092520398</v>
      </c>
    </row>
    <row r="257" spans="2:17">
      <c r="I257" s="355" t="str">
        <v>2029F</v>
      </c>
      <c r="J257" s="368">
        <f t="shared" si="127"/>
        <v>2553.5863425394473</v>
      </c>
      <c r="K257" s="368">
        <f t="shared" si="129"/>
        <v>255.35863425394473</v>
      </c>
      <c r="L257" s="160">
        <f t="shared" ref="L257:Q257" si="133">$K257*L247</f>
        <v>0</v>
      </c>
      <c r="M257" s="90">
        <f t="shared" si="133"/>
        <v>0</v>
      </c>
      <c r="N257" s="90">
        <f t="shared" si="133"/>
        <v>0</v>
      </c>
      <c r="O257" s="90">
        <f t="shared" si="133"/>
        <v>0</v>
      </c>
      <c r="P257" s="90">
        <f t="shared" si="133"/>
        <v>255.35863425394473</v>
      </c>
      <c r="Q257" s="369">
        <f t="shared" si="133"/>
        <v>255.35863425394473</v>
      </c>
    </row>
    <row r="258" spans="2:17">
      <c r="I258" s="358" t="str">
        <v>2030F</v>
      </c>
      <c r="J258" s="370">
        <f t="shared" si="127"/>
        <v>2387.2428778555018</v>
      </c>
      <c r="K258" s="374">
        <f t="shared" si="129"/>
        <v>238.72428778555019</v>
      </c>
      <c r="L258" s="371">
        <f t="shared" ref="L258:Q258" si="134">$K258*L248</f>
        <v>0</v>
      </c>
      <c r="M258" s="372">
        <f t="shared" si="134"/>
        <v>0</v>
      </c>
      <c r="N258" s="372">
        <f t="shared" si="134"/>
        <v>0</v>
      </c>
      <c r="O258" s="372">
        <f t="shared" si="134"/>
        <v>0</v>
      </c>
      <c r="P258" s="372">
        <f t="shared" si="134"/>
        <v>0</v>
      </c>
      <c r="Q258" s="373">
        <f t="shared" si="134"/>
        <v>238.72428778555019</v>
      </c>
    </row>
    <row r="259" spans="2:17">
      <c r="I259" s="159"/>
      <c r="J259" s="168"/>
      <c r="K259" s="168"/>
      <c r="L259" s="167"/>
      <c r="M259" s="167"/>
      <c r="N259" s="167"/>
      <c r="O259" s="167"/>
      <c r="P259" s="167"/>
      <c r="Q259" s="167"/>
    </row>
    <row r="260" spans="2:17">
      <c r="B260" s="119"/>
      <c r="C260" s="45"/>
      <c r="D260" s="45"/>
      <c r="E260" s="45"/>
      <c r="F260" s="62"/>
      <c r="G260" s="62"/>
      <c r="H260" s="62"/>
      <c r="I260" s="62"/>
      <c r="J260" s="62"/>
      <c r="K260" s="62"/>
      <c r="L260" s="62"/>
      <c r="M260" s="62"/>
      <c r="N260" s="62"/>
      <c r="O260" s="62"/>
      <c r="P260" s="62"/>
      <c r="Q260" s="62"/>
    </row>
    <row r="262" spans="2:17">
      <c r="F262" s="80"/>
      <c r="G262" s="80"/>
      <c r="H262" s="80"/>
      <c r="I262" s="80"/>
      <c r="J262" s="80"/>
      <c r="K262" s="80"/>
      <c r="L262" s="81" t="s">
        <v>86</v>
      </c>
      <c r="M262" s="81"/>
      <c r="N262" s="81"/>
      <c r="O262" s="81"/>
      <c r="P262" s="81"/>
      <c r="Q262" s="81"/>
    </row>
    <row r="263" spans="2:17">
      <c r="F263" s="83" t="s">
        <v>38</v>
      </c>
      <c r="G263" s="83" t="s">
        <v>10</v>
      </c>
      <c r="H263" s="83" t="s">
        <v>11</v>
      </c>
      <c r="I263" s="83" t="s">
        <v>12</v>
      </c>
      <c r="J263" s="83" t="s">
        <v>13</v>
      </c>
      <c r="K263" s="83" t="s">
        <v>14</v>
      </c>
      <c r="L263" s="83" t="s">
        <v>15</v>
      </c>
      <c r="M263" s="83" t="s">
        <v>78</v>
      </c>
      <c r="N263" s="83" t="s">
        <v>79</v>
      </c>
      <c r="O263" s="83" t="s">
        <v>80</v>
      </c>
      <c r="P263" s="83" t="s">
        <v>81</v>
      </c>
      <c r="Q263" s="44" t="s">
        <v>295</v>
      </c>
    </row>
    <row r="265" spans="2:17" ht="19">
      <c r="B265" s="3" t="s">
        <v>408</v>
      </c>
    </row>
    <row r="266" spans="2:17">
      <c r="B266" s="110" t="s">
        <v>136</v>
      </c>
      <c r="L266" s="90">
        <f t="shared" ref="L266:Q266" si="135">($E$233/$E$232)*L233</f>
        <v>978.11428571428576</v>
      </c>
      <c r="M266" s="90">
        <f t="shared" si="135"/>
        <v>978.11428571428576</v>
      </c>
      <c r="N266" s="90">
        <f t="shared" si="135"/>
        <v>978.11428571428576</v>
      </c>
      <c r="O266" s="90">
        <f t="shared" si="135"/>
        <v>978.11428571428576</v>
      </c>
      <c r="P266" s="90">
        <f t="shared" si="135"/>
        <v>978.11428571428576</v>
      </c>
      <c r="Q266" s="90">
        <f t="shared" si="135"/>
        <v>978.11428571428576</v>
      </c>
    </row>
    <row r="267" spans="2:17">
      <c r="B267" s="110" t="s">
        <v>137</v>
      </c>
      <c r="L267" s="90">
        <f t="shared" ref="L267:Q267" si="136">SUM(L253:L258)</f>
        <v>233.58905979144387</v>
      </c>
      <c r="M267" s="90">
        <f t="shared" si="136"/>
        <v>480.96710091764714</v>
      </c>
      <c r="N267" s="90">
        <f t="shared" si="136"/>
        <v>732.26231499559049</v>
      </c>
      <c r="O267" s="90">
        <f t="shared" si="136"/>
        <v>986.39205592079452</v>
      </c>
      <c r="P267" s="90">
        <f t="shared" si="136"/>
        <v>1241.7506901747392</v>
      </c>
      <c r="Q267" s="90">
        <f t="shared" si="136"/>
        <v>1480.4749779602894</v>
      </c>
    </row>
    <row r="268" spans="2:17">
      <c r="B268" s="111" t="s">
        <v>173</v>
      </c>
      <c r="C268" s="3"/>
      <c r="D268" s="3"/>
      <c r="E268" s="3"/>
      <c r="F268" s="58"/>
      <c r="G268" s="58"/>
      <c r="H268" s="58"/>
      <c r="I268" s="58"/>
      <c r="J268" s="58"/>
      <c r="K268" s="58"/>
      <c r="L268" s="93">
        <f t="shared" ref="L268:Q268" si="137">SUM(L266:L267)</f>
        <v>1211.7033455057297</v>
      </c>
      <c r="M268" s="93">
        <f t="shared" si="137"/>
        <v>1459.0813866319329</v>
      </c>
      <c r="N268" s="93">
        <f t="shared" si="137"/>
        <v>1710.3766007098761</v>
      </c>
      <c r="O268" s="93">
        <f t="shared" si="137"/>
        <v>1964.5063416350804</v>
      </c>
      <c r="P268" s="93">
        <f t="shared" si="137"/>
        <v>2219.8649758890251</v>
      </c>
      <c r="Q268" s="93">
        <f t="shared" si="137"/>
        <v>2458.5892636745752</v>
      </c>
    </row>
    <row r="269" spans="2:17">
      <c r="B269" s="111"/>
      <c r="C269" s="3"/>
      <c r="D269" s="3"/>
      <c r="E269" s="3"/>
      <c r="F269" s="58"/>
      <c r="G269" s="58"/>
      <c r="H269" s="58"/>
      <c r="I269" s="58"/>
      <c r="J269" s="58"/>
      <c r="K269" s="58"/>
      <c r="L269" s="123"/>
      <c r="M269" s="123"/>
      <c r="N269" s="123"/>
      <c r="O269" s="123"/>
      <c r="P269" s="123"/>
      <c r="Q269" s="123"/>
    </row>
    <row r="270" spans="2:17">
      <c r="B270" s="111" t="s">
        <v>174</v>
      </c>
      <c r="C270" s="3"/>
      <c r="D270" s="3"/>
      <c r="E270" s="3"/>
      <c r="F270" s="58"/>
      <c r="G270" s="58"/>
      <c r="H270" s="58"/>
      <c r="I270" s="58"/>
      <c r="J270" s="58"/>
      <c r="K270" s="58"/>
      <c r="L270" s="92">
        <f>Assumptions!H139</f>
        <v>845.5</v>
      </c>
      <c r="M270" s="92">
        <f>Assumptions!I139</f>
        <v>965.8</v>
      </c>
      <c r="N270" s="92">
        <f>Assumptions!J139</f>
        <v>937.8</v>
      </c>
      <c r="O270" s="92">
        <f>Assumptions!K139</f>
        <v>883.4</v>
      </c>
      <c r="P270" s="92">
        <f>Assumptions!L139</f>
        <v>806.2</v>
      </c>
      <c r="Q270" s="92">
        <f>Assumptions!M139</f>
        <v>290.2</v>
      </c>
    </row>
    <row r="271" spans="2:17">
      <c r="B271" s="1"/>
      <c r="F271" s="1"/>
      <c r="G271" s="1"/>
      <c r="H271" s="1"/>
      <c r="I271" s="1"/>
      <c r="J271" s="1"/>
      <c r="K271" s="1"/>
      <c r="L271" s="1"/>
      <c r="M271" s="1"/>
      <c r="N271" s="1"/>
      <c r="O271" s="1"/>
      <c r="P271" s="1"/>
      <c r="Q271" s="1"/>
    </row>
    <row r="272" spans="2:17">
      <c r="B272" s="111" t="s">
        <v>161</v>
      </c>
      <c r="F272" s="123"/>
      <c r="G272" s="123"/>
      <c r="H272" s="123"/>
      <c r="I272" s="123"/>
      <c r="J272" s="123"/>
      <c r="K272" s="123"/>
      <c r="L272" s="94">
        <f>SUM(L268+L270)</f>
        <v>2057.2033455057299</v>
      </c>
      <c r="M272" s="94">
        <f t="shared" ref="M272:Q272" si="138">SUM(M268+M270)</f>
        <v>2424.8813866319329</v>
      </c>
      <c r="N272" s="94">
        <f t="shared" si="138"/>
        <v>2648.1766007098759</v>
      </c>
      <c r="O272" s="94">
        <f t="shared" si="138"/>
        <v>2847.9063416350805</v>
      </c>
      <c r="P272" s="94">
        <f t="shared" si="138"/>
        <v>3026.0649758890249</v>
      </c>
      <c r="Q272" s="94">
        <f t="shared" si="138"/>
        <v>2748.7892636745751</v>
      </c>
    </row>
    <row r="273" spans="1:17">
      <c r="B273" s="111"/>
      <c r="F273" s="123"/>
      <c r="G273" s="123"/>
      <c r="H273" s="123"/>
      <c r="I273" s="123"/>
      <c r="J273" s="123"/>
      <c r="K273" s="123"/>
      <c r="L273" s="123"/>
      <c r="M273" s="123"/>
      <c r="N273" s="123"/>
      <c r="O273" s="123"/>
      <c r="P273" s="123"/>
      <c r="Q273" s="123"/>
    </row>
    <row r="274" spans="1:17">
      <c r="B274" s="111"/>
      <c r="F274" s="123"/>
      <c r="G274" s="123"/>
      <c r="H274" s="123"/>
      <c r="I274" s="123"/>
      <c r="J274" s="123"/>
      <c r="K274" s="123"/>
      <c r="L274" s="123"/>
      <c r="M274" s="123"/>
      <c r="N274" s="123"/>
      <c r="O274" s="123"/>
      <c r="P274" s="123"/>
      <c r="Q274" s="338" t="s">
        <v>404</v>
      </c>
    </row>
    <row r="275" spans="1:17">
      <c r="B275" s="1"/>
      <c r="F275" s="1"/>
      <c r="G275" s="1"/>
      <c r="H275" s="1"/>
      <c r="I275" s="1"/>
      <c r="J275" s="1"/>
      <c r="K275" s="1"/>
      <c r="L275" s="1"/>
      <c r="M275" s="1"/>
      <c r="N275" s="1"/>
      <c r="O275" s="1"/>
      <c r="P275" s="1"/>
      <c r="Q275" s="339" t="s">
        <v>403</v>
      </c>
    </row>
    <row r="276" spans="1:17">
      <c r="B276" s="1"/>
      <c r="F276" s="1"/>
      <c r="G276" s="1"/>
      <c r="H276" s="1"/>
      <c r="I276" s="1"/>
      <c r="J276" s="1"/>
      <c r="K276" s="1"/>
      <c r="L276" s="1"/>
      <c r="M276" s="1"/>
      <c r="N276" s="1"/>
      <c r="O276" s="1"/>
      <c r="P276" s="1"/>
      <c r="Q276" s="340" t="s">
        <v>405</v>
      </c>
    </row>
    <row r="277" spans="1:17">
      <c r="B277" s="1"/>
      <c r="F277" s="1"/>
      <c r="G277" s="1"/>
      <c r="H277" s="1"/>
      <c r="I277" s="1"/>
      <c r="J277" s="1"/>
      <c r="K277" s="1"/>
      <c r="L277" s="1"/>
      <c r="M277" s="1"/>
      <c r="N277" s="1"/>
      <c r="O277" s="1"/>
      <c r="P277" s="1"/>
      <c r="Q277" s="1"/>
    </row>
    <row r="278" spans="1:17" ht="24">
      <c r="A278" s="1" t="s">
        <v>160</v>
      </c>
      <c r="B278" s="139" t="s">
        <v>257</v>
      </c>
      <c r="C278" s="140"/>
      <c r="D278" s="140"/>
      <c r="E278" s="140"/>
      <c r="F278" s="140"/>
      <c r="G278" s="140"/>
      <c r="H278" s="140"/>
      <c r="I278" s="140"/>
      <c r="J278" s="140"/>
      <c r="K278" s="140"/>
      <c r="L278" s="140"/>
      <c r="M278" s="140"/>
      <c r="N278" s="140"/>
      <c r="O278" s="140"/>
      <c r="P278" s="140"/>
      <c r="Q278" s="140"/>
    </row>
    <row r="279" spans="1:17">
      <c r="B279" s="126"/>
      <c r="C279" s="127"/>
      <c r="D279" s="127"/>
      <c r="E279" s="127"/>
      <c r="F279" s="127"/>
      <c r="G279" s="127"/>
      <c r="H279" s="127"/>
      <c r="I279" s="127"/>
      <c r="J279" s="127"/>
      <c r="K279" s="127"/>
      <c r="L279" s="127"/>
      <c r="M279" s="127"/>
      <c r="N279" s="127"/>
      <c r="O279" s="127"/>
      <c r="P279" s="127"/>
      <c r="Q279" s="127"/>
    </row>
    <row r="280" spans="1:17">
      <c r="B280" s="116" t="s">
        <v>130</v>
      </c>
      <c r="C280" s="71"/>
      <c r="D280" s="71"/>
      <c r="E280" s="71"/>
      <c r="F280" s="80"/>
      <c r="G280" s="80"/>
      <c r="H280" s="80"/>
      <c r="I280" s="80"/>
      <c r="J280" s="80"/>
      <c r="K280" s="80"/>
      <c r="L280" s="80"/>
      <c r="M280" s="80"/>
      <c r="N280" s="80"/>
      <c r="O280" s="80"/>
      <c r="P280" s="80"/>
      <c r="Q280" s="80"/>
    </row>
    <row r="281" spans="1:17">
      <c r="B281" s="117" t="str">
        <f>CONCATENATE("Running ", CHOOSE(Assumptions!$B$7,Assumptions!$B$13,Assumptions!$B$14,Assumptions!$B$15)," Model")</f>
        <v>Running Base Case Model</v>
      </c>
      <c r="C281" s="80"/>
      <c r="D281" s="80"/>
      <c r="E281" s="80"/>
      <c r="F281" s="80"/>
      <c r="G281" s="80"/>
      <c r="H281" s="80"/>
      <c r="I281" s="80"/>
      <c r="J281" s="80"/>
      <c r="K281" s="80"/>
      <c r="L281" s="81" t="s">
        <v>86</v>
      </c>
      <c r="M281" s="81"/>
      <c r="N281" s="81"/>
      <c r="O281" s="81"/>
      <c r="P281" s="81"/>
      <c r="Q281" s="81"/>
    </row>
    <row r="282" spans="1:17">
      <c r="B282" s="113"/>
      <c r="C282" s="80"/>
      <c r="D282" s="80"/>
      <c r="E282" s="80"/>
      <c r="F282" s="83" t="s">
        <v>38</v>
      </c>
      <c r="G282" s="83" t="s">
        <v>10</v>
      </c>
      <c r="H282" s="83" t="s">
        <v>11</v>
      </c>
      <c r="I282" s="83" t="s">
        <v>12</v>
      </c>
      <c r="J282" s="83" t="s">
        <v>13</v>
      </c>
      <c r="K282" s="83" t="s">
        <v>14</v>
      </c>
      <c r="L282" s="83" t="s">
        <v>15</v>
      </c>
      <c r="M282" s="83" t="s">
        <v>78</v>
      </c>
      <c r="N282" s="83" t="s">
        <v>79</v>
      </c>
      <c r="O282" s="83" t="s">
        <v>80</v>
      </c>
      <c r="P282" s="83" t="s">
        <v>81</v>
      </c>
      <c r="Q282" s="44" t="s">
        <v>295</v>
      </c>
    </row>
    <row r="283" spans="1:17">
      <c r="B283" s="113"/>
      <c r="C283" s="80"/>
      <c r="D283" s="80"/>
      <c r="E283" s="80"/>
      <c r="F283" s="169"/>
      <c r="G283" s="169"/>
      <c r="H283" s="169"/>
      <c r="I283" s="169"/>
      <c r="J283" s="169"/>
      <c r="K283" s="169"/>
      <c r="L283" s="169"/>
      <c r="M283" s="169"/>
      <c r="N283" s="169"/>
      <c r="O283" s="169"/>
      <c r="P283" s="169"/>
      <c r="Q283" s="169"/>
    </row>
    <row r="284" spans="1:17">
      <c r="B284" s="110" t="s">
        <v>0</v>
      </c>
      <c r="F284" s="53">
        <f t="shared" ref="F284:K284" si="139">F8</f>
        <v>11820</v>
      </c>
      <c r="G284" s="53">
        <f t="shared" si="139"/>
        <v>13978.5</v>
      </c>
      <c r="H284" s="53">
        <f t="shared" si="139"/>
        <v>18611</v>
      </c>
      <c r="I284" s="53">
        <f t="shared" si="139"/>
        <v>21173.4</v>
      </c>
      <c r="J284" s="53">
        <f t="shared" si="139"/>
        <v>27558.5</v>
      </c>
      <c r="K284" s="53">
        <f t="shared" si="139"/>
        <v>28262.9</v>
      </c>
      <c r="L284" s="90">
        <f t="shared" ref="L284:Q284" si="140">L153</f>
        <v>33369.865684491982</v>
      </c>
      <c r="M284" s="90">
        <f t="shared" si="140"/>
        <v>38058.160173262033</v>
      </c>
      <c r="N284" s="90">
        <f t="shared" si="140"/>
        <v>41882.535679657223</v>
      </c>
      <c r="O284" s="90">
        <f t="shared" si="140"/>
        <v>46205.407440946183</v>
      </c>
      <c r="P284" s="90">
        <f t="shared" si="140"/>
        <v>51071.726850788938</v>
      </c>
      <c r="Q284" s="90">
        <f t="shared" si="140"/>
        <v>53049.841730122265</v>
      </c>
    </row>
    <row r="285" spans="1:17">
      <c r="B285" s="110" t="s">
        <v>135</v>
      </c>
      <c r="F285" s="53">
        <f t="shared" ref="F285:K285" si="141">-F52</f>
        <v>766.6</v>
      </c>
      <c r="G285" s="53">
        <f t="shared" si="141"/>
        <v>962</v>
      </c>
      <c r="H285" s="53">
        <f t="shared" si="141"/>
        <v>900.7</v>
      </c>
      <c r="I285" s="53">
        <f t="shared" si="141"/>
        <v>1281.8</v>
      </c>
      <c r="J285" s="53">
        <f t="shared" si="141"/>
        <v>2155.6</v>
      </c>
      <c r="K285" s="53">
        <f t="shared" si="141"/>
        <v>2067.1999999999998</v>
      </c>
      <c r="L285" s="90">
        <f>Assumptions!H93*Model!L284</f>
        <v>2335.8905979144388</v>
      </c>
      <c r="M285" s="90">
        <f>Assumptions!I93*Model!M284</f>
        <v>2473.7804112620324</v>
      </c>
      <c r="N285" s="90">
        <f>Assumptions!J93*Model!N284</f>
        <v>2512.9521407794332</v>
      </c>
      <c r="O285" s="90">
        <f>Assumptions!K93*Model!O284</f>
        <v>2541.2974092520399</v>
      </c>
      <c r="P285" s="90">
        <f>Assumptions!L93*Model!P284</f>
        <v>2553.5863425394473</v>
      </c>
      <c r="Q285" s="90">
        <f>Assumptions!M93*Model!Q284</f>
        <v>2387.2428778555018</v>
      </c>
    </row>
    <row r="286" spans="1:17">
      <c r="B286" s="110" t="s">
        <v>165</v>
      </c>
      <c r="F286" s="53">
        <f t="shared" ref="F286:K286" si="142">-F53</f>
        <v>424.9</v>
      </c>
      <c r="G286" s="53">
        <f t="shared" si="142"/>
        <v>658.9</v>
      </c>
      <c r="H286" s="53">
        <f t="shared" si="142"/>
        <v>725</v>
      </c>
      <c r="I286" s="53">
        <f t="shared" si="142"/>
        <v>930.6</v>
      </c>
      <c r="J286" s="53">
        <f t="shared" si="142"/>
        <v>985.9</v>
      </c>
      <c r="K286" s="53">
        <f t="shared" si="142"/>
        <v>1138.4000000000001</v>
      </c>
      <c r="L286" s="90">
        <f>L284*Assumptions!H99</f>
        <v>1334.7946273796792</v>
      </c>
      <c r="M286" s="90">
        <f>M284*Assumptions!I99</f>
        <v>1332.0356060641714</v>
      </c>
      <c r="N286" s="90">
        <f>N284*Assumptions!J99</f>
        <v>1256.4760703897166</v>
      </c>
      <c r="O286" s="90">
        <f>O284*Assumptions!K99</f>
        <v>1155.1351860236546</v>
      </c>
      <c r="P286" s="90">
        <f>P284*Assumptions!L99</f>
        <v>1021.4345370157788</v>
      </c>
      <c r="Q286" s="90">
        <f>Q284*Assumptions!M99</f>
        <v>1060.9968346024452</v>
      </c>
    </row>
    <row r="287" spans="1:17">
      <c r="L287" s="167"/>
      <c r="M287" s="167"/>
      <c r="N287" s="167"/>
      <c r="O287" s="167"/>
      <c r="P287" s="167"/>
      <c r="Q287" s="167"/>
    </row>
    <row r="288" spans="1:17">
      <c r="L288" s="167"/>
      <c r="M288" s="167"/>
      <c r="N288" s="167"/>
      <c r="O288" s="167"/>
      <c r="P288" s="167"/>
      <c r="Q288" s="167"/>
    </row>
    <row r="289" spans="2:17">
      <c r="B289" s="376" t="s">
        <v>417</v>
      </c>
      <c r="C289" s="295"/>
      <c r="D289" s="295"/>
      <c r="E289" s="295"/>
      <c r="F289" s="333"/>
      <c r="L289" s="167"/>
      <c r="M289" s="167"/>
      <c r="N289" s="167"/>
      <c r="O289" s="167"/>
      <c r="P289" s="167"/>
      <c r="Q289" s="167"/>
    </row>
    <row r="290" spans="2:17">
      <c r="B290" s="110" t="s">
        <v>175</v>
      </c>
      <c r="E290" s="290">
        <f>Assumptions!E150</f>
        <v>0.2</v>
      </c>
      <c r="F290" s="153" t="s">
        <v>98</v>
      </c>
      <c r="L290" s="167"/>
      <c r="M290" s="167"/>
      <c r="N290" s="167"/>
      <c r="O290" s="167"/>
      <c r="P290" s="167"/>
      <c r="Q290" s="167"/>
    </row>
    <row r="291" spans="2:17">
      <c r="B291" s="343" t="s">
        <v>176</v>
      </c>
      <c r="C291" s="295"/>
      <c r="D291" s="295"/>
      <c r="E291" s="345">
        <f>Assumptions!E151</f>
        <v>0.15</v>
      </c>
      <c r="F291" s="344" t="s">
        <v>98</v>
      </c>
      <c r="L291" s="167"/>
      <c r="M291" s="167"/>
      <c r="N291" s="167"/>
      <c r="O291" s="167"/>
      <c r="P291" s="167"/>
      <c r="Q291" s="167"/>
    </row>
    <row r="292" spans="2:17">
      <c r="L292" s="167"/>
      <c r="M292" s="167"/>
      <c r="N292" s="167"/>
      <c r="O292" s="167"/>
      <c r="P292" s="167"/>
      <c r="Q292" s="167"/>
    </row>
    <row r="293" spans="2:17">
      <c r="B293" s="376" t="s">
        <v>416</v>
      </c>
      <c r="C293" s="295"/>
      <c r="D293" s="295"/>
      <c r="E293" s="295"/>
      <c r="F293" s="333"/>
      <c r="L293" s="167"/>
      <c r="M293" s="167"/>
      <c r="N293" s="167"/>
      <c r="O293" s="167"/>
      <c r="P293" s="167"/>
      <c r="Q293" s="167"/>
    </row>
    <row r="294" spans="2:17">
      <c r="B294" s="110" t="s">
        <v>177</v>
      </c>
      <c r="E294" s="290">
        <f>Assumptions!E152</f>
        <v>0.1</v>
      </c>
      <c r="F294" s="153" t="s">
        <v>98</v>
      </c>
      <c r="L294" s="167"/>
      <c r="M294" s="167"/>
      <c r="N294" s="167"/>
      <c r="O294" s="167"/>
      <c r="P294" s="167"/>
      <c r="Q294" s="167"/>
    </row>
    <row r="295" spans="2:17">
      <c r="B295" s="343" t="s">
        <v>178</v>
      </c>
      <c r="C295" s="295"/>
      <c r="D295" s="295"/>
      <c r="E295" s="345">
        <f>Assumptions!E153</f>
        <v>0.1</v>
      </c>
      <c r="F295" s="344" t="s">
        <v>98</v>
      </c>
      <c r="L295" s="167"/>
      <c r="M295" s="167"/>
      <c r="N295" s="167"/>
      <c r="O295" s="167"/>
      <c r="P295" s="167"/>
      <c r="Q295" s="167"/>
    </row>
    <row r="296" spans="2:17">
      <c r="E296" s="290"/>
      <c r="F296" s="153"/>
      <c r="L296" s="167"/>
      <c r="M296" s="167"/>
      <c r="N296" s="167"/>
      <c r="O296" s="167"/>
      <c r="P296" s="167"/>
      <c r="Q296" s="167"/>
    </row>
    <row r="297" spans="2:17">
      <c r="B297" s="119"/>
      <c r="C297" s="45"/>
      <c r="D297" s="45"/>
      <c r="E297" s="45"/>
      <c r="F297" s="62"/>
      <c r="G297" s="62"/>
      <c r="H297" s="62"/>
      <c r="I297" s="62"/>
      <c r="J297" s="62"/>
      <c r="K297" s="62"/>
      <c r="L297" s="170"/>
      <c r="M297" s="170"/>
      <c r="N297" s="170"/>
      <c r="O297" s="170"/>
      <c r="P297" s="170"/>
      <c r="Q297" s="170"/>
    </row>
    <row r="299" spans="2:17">
      <c r="B299" s="3" t="s">
        <v>371</v>
      </c>
    </row>
    <row r="300" spans="2:17">
      <c r="B300" s="110" t="s">
        <v>167</v>
      </c>
      <c r="L300" s="90">
        <f t="shared" ref="L300:Q300" si="143">K303</f>
        <v>6846.8</v>
      </c>
      <c r="M300" s="90">
        <f t="shared" si="143"/>
        <v>7970.9872524087095</v>
      </c>
      <c r="N300" s="90">
        <f t="shared" si="143"/>
        <v>8985.6862770388088</v>
      </c>
      <c r="O300" s="90">
        <f t="shared" si="143"/>
        <v>9788.261817108365</v>
      </c>
      <c r="P300" s="90">
        <f t="shared" si="143"/>
        <v>10365.052884725324</v>
      </c>
      <c r="Q300" s="90">
        <f t="shared" si="143"/>
        <v>10698.774251375748</v>
      </c>
    </row>
    <row r="301" spans="2:17">
      <c r="B301" s="110" t="s">
        <v>168</v>
      </c>
      <c r="L301" s="90">
        <f t="shared" ref="L301:Q301" si="144">L285</f>
        <v>2335.8905979144388</v>
      </c>
      <c r="M301" s="90">
        <f t="shared" si="144"/>
        <v>2473.7804112620324</v>
      </c>
      <c r="N301" s="90">
        <f t="shared" si="144"/>
        <v>2512.9521407794332</v>
      </c>
      <c r="O301" s="90">
        <f t="shared" si="144"/>
        <v>2541.2974092520399</v>
      </c>
      <c r="P301" s="90">
        <f t="shared" si="144"/>
        <v>2553.5863425394473</v>
      </c>
      <c r="Q301" s="90">
        <f t="shared" si="144"/>
        <v>2387.2428778555018</v>
      </c>
    </row>
    <row r="302" spans="2:17">
      <c r="B302" s="110" t="s">
        <v>169</v>
      </c>
      <c r="L302" s="90">
        <f t="shared" ref="L302:Q302" si="145">-L268</f>
        <v>-1211.7033455057297</v>
      </c>
      <c r="M302" s="90">
        <f t="shared" si="145"/>
        <v>-1459.0813866319329</v>
      </c>
      <c r="N302" s="90">
        <f t="shared" si="145"/>
        <v>-1710.3766007098761</v>
      </c>
      <c r="O302" s="90">
        <f t="shared" si="145"/>
        <v>-1964.5063416350804</v>
      </c>
      <c r="P302" s="90">
        <f t="shared" si="145"/>
        <v>-2219.8649758890251</v>
      </c>
      <c r="Q302" s="90">
        <f t="shared" si="145"/>
        <v>-2458.5892636745752</v>
      </c>
    </row>
    <row r="303" spans="2:17" s="3" customFormat="1">
      <c r="B303" s="111" t="s">
        <v>170</v>
      </c>
      <c r="F303" s="68">
        <f>F88</f>
        <v>1999.3</v>
      </c>
      <c r="G303" s="68">
        <f>G88</f>
        <v>2470.3000000000002</v>
      </c>
      <c r="H303" s="68">
        <f>H88</f>
        <v>2982.7</v>
      </c>
      <c r="I303" s="68">
        <f>I88</f>
        <v>3944.2</v>
      </c>
      <c r="J303" s="68">
        <f>J88</f>
        <v>5493.2</v>
      </c>
      <c r="K303" s="68">
        <v>6846.8</v>
      </c>
      <c r="L303" s="94">
        <f t="shared" ref="L303" si="146">SUM(L300:L302)</f>
        <v>7970.9872524087095</v>
      </c>
      <c r="M303" s="94">
        <f t="shared" ref="M303" si="147">SUM(M300:M302)</f>
        <v>8985.6862770388088</v>
      </c>
      <c r="N303" s="94">
        <f t="shared" ref="N303" si="148">SUM(N300:N302)</f>
        <v>9788.261817108365</v>
      </c>
      <c r="O303" s="94">
        <f t="shared" ref="O303" si="149">SUM(O300:O302)</f>
        <v>10365.052884725324</v>
      </c>
      <c r="P303" s="94">
        <f t="shared" ref="P303" si="150">SUM(P300:P302)</f>
        <v>10698.774251375748</v>
      </c>
      <c r="Q303" s="94">
        <f t="shared" ref="Q303" si="151">SUM(Q300:Q302)</f>
        <v>10627.427865556674</v>
      </c>
    </row>
    <row r="305" spans="2:17">
      <c r="B305" s="3" t="s">
        <v>372</v>
      </c>
    </row>
    <row r="306" spans="2:17">
      <c r="B306" s="110" t="s">
        <v>167</v>
      </c>
      <c r="L306" s="90">
        <f t="shared" ref="L306" si="152">K309</f>
        <v>4728.8999999999996</v>
      </c>
      <c r="M306" s="90">
        <f t="shared" ref="M306:Q306" si="153">L309</f>
        <v>5218.1946273796784</v>
      </c>
      <c r="N306" s="90">
        <f t="shared" si="153"/>
        <v>5584.4302334438498</v>
      </c>
      <c r="O306" s="90">
        <f t="shared" si="153"/>
        <v>5903.106303833566</v>
      </c>
      <c r="P306" s="90">
        <f t="shared" si="153"/>
        <v>6174.8414898572209</v>
      </c>
      <c r="Q306" s="90">
        <f t="shared" si="153"/>
        <v>6390.076026873</v>
      </c>
    </row>
    <row r="307" spans="2:17">
      <c r="B307" s="110" t="s">
        <v>171</v>
      </c>
      <c r="L307" s="90">
        <f>L286</f>
        <v>1334.7946273796792</v>
      </c>
      <c r="M307" s="90">
        <f t="shared" ref="M307:Q307" si="154">M286</f>
        <v>1332.0356060641714</v>
      </c>
      <c r="N307" s="90">
        <f t="shared" si="154"/>
        <v>1256.4760703897166</v>
      </c>
      <c r="O307" s="90">
        <f t="shared" si="154"/>
        <v>1155.1351860236546</v>
      </c>
      <c r="P307" s="90">
        <f t="shared" si="154"/>
        <v>1021.4345370157788</v>
      </c>
      <c r="Q307" s="90">
        <f t="shared" si="154"/>
        <v>1060.9968346024452</v>
      </c>
    </row>
    <row r="308" spans="2:17">
      <c r="B308" s="110" t="s">
        <v>172</v>
      </c>
      <c r="L308" s="90">
        <f>-L270</f>
        <v>-845.5</v>
      </c>
      <c r="M308" s="90">
        <f t="shared" ref="M308:Q308" si="155">-M270</f>
        <v>-965.8</v>
      </c>
      <c r="N308" s="90">
        <f t="shared" si="155"/>
        <v>-937.8</v>
      </c>
      <c r="O308" s="90">
        <f t="shared" si="155"/>
        <v>-883.4</v>
      </c>
      <c r="P308" s="90">
        <f t="shared" si="155"/>
        <v>-806.2</v>
      </c>
      <c r="Q308" s="90">
        <f t="shared" si="155"/>
        <v>-290.2</v>
      </c>
    </row>
    <row r="309" spans="2:17" s="3" customFormat="1">
      <c r="B309" s="111" t="s">
        <v>170</v>
      </c>
      <c r="F309" s="68">
        <f t="shared" ref="F309:K309" si="156">F89</f>
        <v>2519.4</v>
      </c>
      <c r="G309" s="68">
        <f t="shared" si="156"/>
        <v>2653.7</v>
      </c>
      <c r="H309" s="68">
        <f t="shared" si="156"/>
        <v>2852.9</v>
      </c>
      <c r="I309" s="68">
        <f t="shared" si="156"/>
        <v>3345.7</v>
      </c>
      <c r="J309" s="68">
        <f t="shared" si="156"/>
        <v>3933.2</v>
      </c>
      <c r="K309" s="68">
        <f t="shared" si="156"/>
        <v>4728.8999999999996</v>
      </c>
      <c r="L309" s="94">
        <f t="shared" ref="L309" si="157">SUM(L306:L308)</f>
        <v>5218.1946273796784</v>
      </c>
      <c r="M309" s="94">
        <f t="shared" ref="M309" si="158">SUM(M306:M308)</f>
        <v>5584.4302334438498</v>
      </c>
      <c r="N309" s="94">
        <f t="shared" ref="N309" si="159">SUM(N306:N308)</f>
        <v>5903.106303833566</v>
      </c>
      <c r="O309" s="94">
        <f t="shared" ref="O309" si="160">SUM(O306:O308)</f>
        <v>6174.8414898572209</v>
      </c>
      <c r="P309" s="94">
        <f t="shared" ref="P309" si="161">SUM(P306:P308)</f>
        <v>6390.076026873</v>
      </c>
      <c r="Q309" s="94">
        <f t="shared" ref="Q309" si="162">SUM(Q306:Q308)</f>
        <v>7160.8728614754455</v>
      </c>
    </row>
    <row r="311" spans="2:17">
      <c r="B311" s="119"/>
      <c r="C311" s="45"/>
      <c r="D311" s="45"/>
      <c r="E311" s="45"/>
      <c r="F311" s="62"/>
      <c r="G311" s="62"/>
      <c r="H311" s="62"/>
      <c r="I311" s="62"/>
      <c r="J311" s="62"/>
      <c r="K311" s="62"/>
      <c r="L311" s="62"/>
      <c r="M311" s="62"/>
      <c r="N311" s="62"/>
      <c r="O311" s="62"/>
      <c r="P311" s="62"/>
      <c r="Q311" s="62"/>
    </row>
    <row r="313" spans="2:17" ht="19">
      <c r="B313" s="3" t="s">
        <v>410</v>
      </c>
    </row>
    <row r="314" spans="2:17">
      <c r="B314" s="110" t="s">
        <v>167</v>
      </c>
      <c r="L314" s="90">
        <f t="shared" ref="L314:Q314" si="163">K317</f>
        <v>6846.8</v>
      </c>
      <c r="M314" s="90">
        <f t="shared" si="163"/>
        <v>8085.5938799770065</v>
      </c>
      <c r="N314" s="90">
        <f t="shared" si="163"/>
        <v>9272.3217969046273</v>
      </c>
      <c r="O314" s="90">
        <f t="shared" si="163"/>
        <v>10319.037103924982</v>
      </c>
      <c r="P314" s="90">
        <f t="shared" si="163"/>
        <v>11236.240025310713</v>
      </c>
      <c r="Q314" s="90">
        <f t="shared" si="163"/>
        <v>12027.78277377737</v>
      </c>
    </row>
    <row r="315" spans="2:17">
      <c r="B315" s="110" t="s">
        <v>168</v>
      </c>
      <c r="L315" s="90">
        <f t="shared" ref="L315:Q315" si="164">L301</f>
        <v>2335.8905979144388</v>
      </c>
      <c r="M315" s="90">
        <f t="shared" si="164"/>
        <v>2473.7804112620324</v>
      </c>
      <c r="N315" s="90">
        <f t="shared" si="164"/>
        <v>2512.9521407794332</v>
      </c>
      <c r="O315" s="90">
        <f t="shared" si="164"/>
        <v>2541.2974092520399</v>
      </c>
      <c r="P315" s="90">
        <f t="shared" si="164"/>
        <v>2553.5863425394473</v>
      </c>
      <c r="Q315" s="90">
        <f t="shared" si="164"/>
        <v>2387.2428778555018</v>
      </c>
    </row>
    <row r="316" spans="2:17">
      <c r="B316" s="110" t="s">
        <v>185</v>
      </c>
      <c r="L316" s="90">
        <f t="shared" ref="L316:Q316" si="165">-(L314+L315*$E$290)*$E$291</f>
        <v>-1097.0967179374331</v>
      </c>
      <c r="M316" s="90">
        <f t="shared" si="165"/>
        <v>-1287.0524943344119</v>
      </c>
      <c r="N316" s="90">
        <f t="shared" si="165"/>
        <v>-1466.2368337590772</v>
      </c>
      <c r="O316" s="90">
        <f t="shared" si="165"/>
        <v>-1624.0944878663083</v>
      </c>
      <c r="P316" s="90">
        <f t="shared" si="165"/>
        <v>-1762.0435940727905</v>
      </c>
      <c r="Q316" s="90">
        <f t="shared" si="165"/>
        <v>-1875.7847024022706</v>
      </c>
    </row>
    <row r="317" spans="2:17" s="3" customFormat="1">
      <c r="B317" s="111" t="s">
        <v>170</v>
      </c>
      <c r="F317" s="68">
        <f>F113</f>
        <v>0</v>
      </c>
      <c r="G317" s="68">
        <f>G113</f>
        <v>0</v>
      </c>
      <c r="H317" s="68">
        <f>H113</f>
        <v>0</v>
      </c>
      <c r="I317" s="68">
        <f>I113</f>
        <v>0</v>
      </c>
      <c r="J317" s="68">
        <f>J113</f>
        <v>0</v>
      </c>
      <c r="K317" s="68">
        <f>Assumptions!K150</f>
        <v>6846.8</v>
      </c>
      <c r="L317" s="94">
        <f t="shared" ref="L317" si="166">SUM(L314:L316)</f>
        <v>8085.5938799770065</v>
      </c>
      <c r="M317" s="94">
        <f t="shared" ref="M317" si="167">SUM(M314:M316)</f>
        <v>9272.3217969046273</v>
      </c>
      <c r="N317" s="94">
        <f t="shared" ref="N317" si="168">SUM(N314:N316)</f>
        <v>10319.037103924982</v>
      </c>
      <c r="O317" s="94">
        <f t="shared" ref="O317" si="169">SUM(O314:O316)</f>
        <v>11236.240025310713</v>
      </c>
      <c r="P317" s="94">
        <f t="shared" ref="P317" si="170">SUM(P314:P316)</f>
        <v>12027.78277377737</v>
      </c>
      <c r="Q317" s="94">
        <f t="shared" ref="Q317" si="171">SUM(Q314:Q316)</f>
        <v>12539.240949230601</v>
      </c>
    </row>
    <row r="319" spans="2:17" ht="19">
      <c r="B319" s="3" t="s">
        <v>411</v>
      </c>
    </row>
    <row r="320" spans="2:17">
      <c r="B320" s="110" t="s">
        <v>167</v>
      </c>
      <c r="L320" s="90">
        <f t="shared" ref="L320:Q320" si="172">K323</f>
        <v>4728.8999999999996</v>
      </c>
      <c r="M320" s="90">
        <f t="shared" si="172"/>
        <v>5577.4566811058812</v>
      </c>
      <c r="N320" s="90">
        <f t="shared" si="172"/>
        <v>6338.4262629988225</v>
      </c>
      <c r="O320" s="90">
        <f t="shared" si="172"/>
        <v>6948.4949463847597</v>
      </c>
      <c r="P320" s="90">
        <f t="shared" si="172"/>
        <v>7397.2292859097015</v>
      </c>
      <c r="Q320" s="90">
        <f t="shared" si="172"/>
        <v>7668.7265489643523</v>
      </c>
    </row>
    <row r="321" spans="1:17">
      <c r="B321" s="110" t="s">
        <v>168</v>
      </c>
      <c r="L321" s="90">
        <f t="shared" ref="L321:Q321" si="173">L307</f>
        <v>1334.7946273796792</v>
      </c>
      <c r="M321" s="90">
        <f t="shared" si="173"/>
        <v>1332.0356060641714</v>
      </c>
      <c r="N321" s="90">
        <f t="shared" si="173"/>
        <v>1256.4760703897166</v>
      </c>
      <c r="O321" s="90">
        <f t="shared" si="173"/>
        <v>1155.1351860236546</v>
      </c>
      <c r="P321" s="90">
        <f t="shared" si="173"/>
        <v>1021.4345370157788</v>
      </c>
      <c r="Q321" s="90">
        <f t="shared" si="173"/>
        <v>1060.9968346024452</v>
      </c>
    </row>
    <row r="322" spans="1:17">
      <c r="B322" s="110" t="s">
        <v>185</v>
      </c>
      <c r="L322" s="90">
        <f t="shared" ref="L322:Q322" si="174">-(L320+L321*$E$294)*$E$295</f>
        <v>-486.23794627379675</v>
      </c>
      <c r="M322" s="90">
        <f t="shared" si="174"/>
        <v>-571.06602417122986</v>
      </c>
      <c r="N322" s="90">
        <f t="shared" si="174"/>
        <v>-646.40738700377949</v>
      </c>
      <c r="O322" s="90">
        <f t="shared" si="174"/>
        <v>-706.40084649871255</v>
      </c>
      <c r="P322" s="90">
        <f t="shared" si="174"/>
        <v>-749.93727396112797</v>
      </c>
      <c r="Q322" s="90">
        <f t="shared" si="174"/>
        <v>-777.48262324245979</v>
      </c>
    </row>
    <row r="323" spans="1:17" s="3" customFormat="1">
      <c r="B323" s="111" t="s">
        <v>170</v>
      </c>
      <c r="F323" s="68">
        <f>F120</f>
        <v>0</v>
      </c>
      <c r="G323" s="68">
        <f>G120</f>
        <v>0</v>
      </c>
      <c r="H323" s="68">
        <f>H120</f>
        <v>0</v>
      </c>
      <c r="I323" s="68">
        <f>I120</f>
        <v>0</v>
      </c>
      <c r="J323" s="68">
        <f>J120</f>
        <v>0</v>
      </c>
      <c r="K323" s="68">
        <f>Assumptions!K151</f>
        <v>4728.8999999999996</v>
      </c>
      <c r="L323" s="94">
        <f t="shared" ref="L323" si="175">SUM(L320:L322)</f>
        <v>5577.4566811058812</v>
      </c>
      <c r="M323" s="94">
        <f t="shared" ref="M323" si="176">SUM(M320:M322)</f>
        <v>6338.4262629988225</v>
      </c>
      <c r="N323" s="94">
        <f t="shared" ref="N323" si="177">SUM(N320:N322)</f>
        <v>6948.4949463847597</v>
      </c>
      <c r="O323" s="94">
        <f t="shared" ref="O323" si="178">SUM(O320:O322)</f>
        <v>7397.2292859097015</v>
      </c>
      <c r="P323" s="94">
        <f t="shared" ref="P323" si="179">SUM(P320:P322)</f>
        <v>7668.7265489643523</v>
      </c>
      <c r="Q323" s="94">
        <f t="shared" ref="Q323" si="180">SUM(Q320:Q322)</f>
        <v>7952.2407603243373</v>
      </c>
    </row>
    <row r="325" spans="1:17">
      <c r="Q325" s="337" t="s">
        <v>409</v>
      </c>
    </row>
    <row r="327" spans="1:17" ht="24">
      <c r="A327" s="1" t="s">
        <v>160</v>
      </c>
      <c r="B327" s="139" t="s">
        <v>258</v>
      </c>
      <c r="C327" s="140"/>
      <c r="D327" s="140"/>
      <c r="E327" s="140"/>
      <c r="F327" s="140"/>
      <c r="G327" s="140"/>
      <c r="H327" s="140"/>
      <c r="I327" s="140"/>
      <c r="J327" s="140"/>
      <c r="K327" s="140"/>
      <c r="L327" s="140"/>
      <c r="M327" s="140"/>
      <c r="N327" s="140"/>
      <c r="O327" s="140"/>
      <c r="P327" s="140"/>
      <c r="Q327" s="140"/>
    </row>
    <row r="328" spans="1:17">
      <c r="B328" s="126"/>
      <c r="C328" s="127"/>
      <c r="D328" s="127"/>
      <c r="E328" s="127"/>
      <c r="F328" s="127"/>
      <c r="G328" s="127"/>
      <c r="H328" s="127"/>
      <c r="I328" s="127"/>
      <c r="J328" s="127"/>
      <c r="K328" s="127"/>
      <c r="L328" s="127"/>
      <c r="M328" s="127"/>
      <c r="N328" s="127"/>
      <c r="O328" s="127"/>
      <c r="P328" s="127"/>
      <c r="Q328" s="127"/>
    </row>
    <row r="329" spans="1:17">
      <c r="B329" s="116" t="s">
        <v>130</v>
      </c>
      <c r="C329" s="71"/>
      <c r="D329" s="71"/>
      <c r="E329" s="71"/>
      <c r="F329" s="80"/>
      <c r="G329" s="80"/>
      <c r="H329" s="80"/>
      <c r="I329" s="80"/>
      <c r="J329" s="80"/>
      <c r="K329" s="80"/>
      <c r="L329" s="80"/>
      <c r="M329" s="80"/>
      <c r="N329" s="80"/>
      <c r="O329" s="80"/>
      <c r="P329" s="80"/>
      <c r="Q329" s="80"/>
    </row>
    <row r="330" spans="1:17">
      <c r="B330" s="117" t="str">
        <f>CONCATENATE("Running ", CHOOSE(Assumptions!$B$7,Assumptions!$B$13,Assumptions!$B$14,Assumptions!$B$15)," Model")</f>
        <v>Running Base Case Model</v>
      </c>
      <c r="C330" s="80"/>
      <c r="D330" s="80"/>
      <c r="E330" s="80"/>
      <c r="F330" s="80"/>
      <c r="G330" s="80"/>
      <c r="H330" s="80"/>
      <c r="I330" s="80"/>
      <c r="J330" s="80"/>
      <c r="K330" s="80"/>
      <c r="L330" s="81" t="s">
        <v>86</v>
      </c>
      <c r="M330" s="81"/>
      <c r="N330" s="81"/>
      <c r="O330" s="81"/>
      <c r="P330" s="81"/>
      <c r="Q330" s="81"/>
    </row>
    <row r="331" spans="1:17">
      <c r="B331" s="113"/>
      <c r="C331" s="80"/>
      <c r="D331" s="80"/>
      <c r="E331" s="80"/>
      <c r="F331" s="83" t="s">
        <v>38</v>
      </c>
      <c r="G331" s="83" t="s">
        <v>10</v>
      </c>
      <c r="H331" s="83" t="s">
        <v>11</v>
      </c>
      <c r="I331" s="83" t="s">
        <v>12</v>
      </c>
      <c r="J331" s="83" t="s">
        <v>13</v>
      </c>
      <c r="K331" s="83" t="s">
        <v>14</v>
      </c>
      <c r="L331" s="83" t="s">
        <v>15</v>
      </c>
      <c r="M331" s="83" t="s">
        <v>78</v>
      </c>
      <c r="N331" s="83" t="s">
        <v>79</v>
      </c>
      <c r="O331" s="83" t="s">
        <v>80</v>
      </c>
      <c r="P331" s="83" t="s">
        <v>81</v>
      </c>
      <c r="Q331" s="44" t="s">
        <v>295</v>
      </c>
    </row>
    <row r="333" spans="1:17">
      <c r="B333" s="110" t="s">
        <v>3</v>
      </c>
      <c r="F333" s="167">
        <f t="shared" ref="F333:Q333" si="181">F21</f>
        <v>2691.7000000000003</v>
      </c>
      <c r="G333" s="167">
        <f t="shared" si="181"/>
        <v>4208.9000000000015</v>
      </c>
      <c r="H333" s="167">
        <f t="shared" si="181"/>
        <v>6999.2999999999984</v>
      </c>
      <c r="I333" s="167">
        <f t="shared" si="181"/>
        <v>7276.4</v>
      </c>
      <c r="J333" s="167">
        <f t="shared" si="181"/>
        <v>9553.1</v>
      </c>
      <c r="K333" s="167">
        <f t="shared" si="181"/>
        <v>9956.9</v>
      </c>
      <c r="L333" s="90">
        <f t="shared" ca="1" si="181"/>
        <v>12059.349751823427</v>
      </c>
      <c r="M333" s="90">
        <f t="shared" ca="1" si="181"/>
        <v>14595.734241288976</v>
      </c>
      <c r="N333" s="90">
        <f t="shared" ca="1" si="181"/>
        <v>16690.076039872456</v>
      </c>
      <c r="O333" s="90">
        <f t="shared" ca="1" si="181"/>
        <v>19149.342249225807</v>
      </c>
      <c r="P333" s="90">
        <f t="shared" ca="1" si="181"/>
        <v>21927.188207895088</v>
      </c>
      <c r="Q333" s="90">
        <f t="shared" ca="1" si="181"/>
        <v>23294.676408838783</v>
      </c>
    </row>
    <row r="334" spans="1:17">
      <c r="B334" s="110" t="s">
        <v>183</v>
      </c>
      <c r="F334" s="206">
        <f t="shared" ref="F334:K334" si="182">IF(F333&gt;0,1,0)</f>
        <v>1</v>
      </c>
      <c r="G334" s="206">
        <f t="shared" si="182"/>
        <v>1</v>
      </c>
      <c r="H334" s="206">
        <f t="shared" si="182"/>
        <v>1</v>
      </c>
      <c r="I334" s="206">
        <f t="shared" si="182"/>
        <v>1</v>
      </c>
      <c r="J334" s="206">
        <f t="shared" si="182"/>
        <v>1</v>
      </c>
      <c r="K334" s="206">
        <f t="shared" si="182"/>
        <v>1</v>
      </c>
      <c r="L334" s="178">
        <f t="shared" ref="L334:Q334" ca="1" si="183">IF(L333&gt;0,1,0)</f>
        <v>1</v>
      </c>
      <c r="M334" s="178">
        <f t="shared" ca="1" si="183"/>
        <v>1</v>
      </c>
      <c r="N334" s="178">
        <f t="shared" ca="1" si="183"/>
        <v>1</v>
      </c>
      <c r="O334" s="178">
        <f t="shared" ca="1" si="183"/>
        <v>1</v>
      </c>
      <c r="P334" s="178">
        <f t="shared" ca="1" si="183"/>
        <v>1</v>
      </c>
      <c r="Q334" s="178">
        <f t="shared" ca="1" si="183"/>
        <v>1</v>
      </c>
    </row>
    <row r="335" spans="1:17">
      <c r="B335" s="110" t="s">
        <v>188</v>
      </c>
      <c r="F335" s="167">
        <f t="shared" ref="F335:K335" si="184">-F17</f>
        <v>828.3</v>
      </c>
      <c r="G335" s="167">
        <f t="shared" si="184"/>
        <v>918.4</v>
      </c>
      <c r="H335" s="167">
        <f t="shared" si="184"/>
        <v>862.6</v>
      </c>
      <c r="I335" s="167">
        <f t="shared" si="184"/>
        <v>875.9</v>
      </c>
      <c r="J335" s="167">
        <f t="shared" si="184"/>
        <v>1047.5</v>
      </c>
      <c r="K335" s="167">
        <f t="shared" si="184"/>
        <v>1200.0999999999999</v>
      </c>
      <c r="L335" s="90">
        <f t="shared" ref="L335:Q335" si="185">-L272</f>
        <v>-2057.2033455057299</v>
      </c>
      <c r="M335" s="90">
        <f t="shared" si="185"/>
        <v>-2424.8813866319329</v>
      </c>
      <c r="N335" s="90">
        <f t="shared" si="185"/>
        <v>-2648.1766007098759</v>
      </c>
      <c r="O335" s="90">
        <f t="shared" si="185"/>
        <v>-2847.9063416350805</v>
      </c>
      <c r="P335" s="90">
        <f t="shared" si="185"/>
        <v>-3026.0649758890249</v>
      </c>
      <c r="Q335" s="90">
        <f t="shared" si="185"/>
        <v>-2748.7892636745751</v>
      </c>
    </row>
    <row r="336" spans="1:17">
      <c r="B336" s="110" t="s">
        <v>187</v>
      </c>
      <c r="F336" s="167"/>
      <c r="G336" s="167"/>
      <c r="H336" s="167"/>
      <c r="I336" s="167"/>
      <c r="J336" s="167"/>
      <c r="K336" s="167"/>
      <c r="L336" s="90">
        <f t="shared" ref="L336:Q336" si="186">L322+L316</f>
        <v>-1583.3346642112299</v>
      </c>
      <c r="M336" s="90">
        <f t="shared" si="186"/>
        <v>-1858.1185185056418</v>
      </c>
      <c r="N336" s="90">
        <f t="shared" si="186"/>
        <v>-2112.6442207628565</v>
      </c>
      <c r="O336" s="90">
        <f t="shared" si="186"/>
        <v>-2330.4953343650209</v>
      </c>
      <c r="P336" s="90">
        <f t="shared" si="186"/>
        <v>-2511.9808680339183</v>
      </c>
      <c r="Q336" s="90">
        <f t="shared" si="186"/>
        <v>-2653.2673256447306</v>
      </c>
    </row>
    <row r="339" spans="2:17">
      <c r="B339" s="294" t="s">
        <v>415</v>
      </c>
      <c r="C339" s="295"/>
      <c r="D339" s="295"/>
      <c r="E339" s="295"/>
      <c r="F339" s="333"/>
    </row>
    <row r="340" spans="2:17">
      <c r="B340" s="110" t="s">
        <v>179</v>
      </c>
      <c r="E340" s="377">
        <f>Assumptions!E149</f>
        <v>0.184</v>
      </c>
      <c r="F340" s="153" t="s">
        <v>98</v>
      </c>
    </row>
    <row r="341" spans="2:17">
      <c r="B341" s="343" t="s">
        <v>184</v>
      </c>
      <c r="C341" s="295"/>
      <c r="D341" s="295"/>
      <c r="E341" s="378">
        <f ca="1">IF(Q360=0,0,1)</f>
        <v>0</v>
      </c>
      <c r="F341" s="379"/>
    </row>
    <row r="342" spans="2:17">
      <c r="E342" s="380"/>
      <c r="F342" s="72"/>
    </row>
    <row r="343" spans="2:17">
      <c r="B343" s="119"/>
      <c r="C343" s="45"/>
      <c r="D343" s="45"/>
      <c r="E343" s="179"/>
      <c r="F343" s="76"/>
      <c r="G343" s="62"/>
      <c r="H343" s="62"/>
      <c r="I343" s="62"/>
      <c r="J343" s="62"/>
      <c r="K343" s="62"/>
      <c r="L343" s="62"/>
      <c r="M343" s="62"/>
      <c r="N343" s="62"/>
      <c r="O343" s="62"/>
      <c r="P343" s="62"/>
      <c r="Q343" s="62"/>
    </row>
    <row r="345" spans="2:17">
      <c r="B345" s="3" t="s">
        <v>373</v>
      </c>
    </row>
    <row r="346" spans="2:17">
      <c r="B346" s="110" t="s">
        <v>3</v>
      </c>
      <c r="L346" s="90">
        <f t="shared" ref="L346:Q346" ca="1" si="187">L333</f>
        <v>12059.349751823427</v>
      </c>
      <c r="M346" s="90">
        <f t="shared" ca="1" si="187"/>
        <v>14595.734241288976</v>
      </c>
      <c r="N346" s="90">
        <f t="shared" ca="1" si="187"/>
        <v>16690.076039872456</v>
      </c>
      <c r="O346" s="90">
        <f t="shared" ca="1" si="187"/>
        <v>19149.342249225807</v>
      </c>
      <c r="P346" s="90">
        <f t="shared" ca="1" si="187"/>
        <v>21927.188207895088</v>
      </c>
      <c r="Q346" s="90">
        <f t="shared" ca="1" si="187"/>
        <v>23294.676408838783</v>
      </c>
    </row>
    <row r="347" spans="2:17">
      <c r="B347" s="110" t="str">
        <f>"+ Accounting Depreciation"</f>
        <v>+ Accounting Depreciation</v>
      </c>
      <c r="L347" s="90">
        <f t="shared" ref="L347:Q347" si="188">-L335</f>
        <v>2057.2033455057299</v>
      </c>
      <c r="M347" s="90">
        <f t="shared" si="188"/>
        <v>2424.8813866319329</v>
      </c>
      <c r="N347" s="90">
        <f t="shared" si="188"/>
        <v>2648.1766007098759</v>
      </c>
      <c r="O347" s="90">
        <f t="shared" si="188"/>
        <v>2847.9063416350805</v>
      </c>
      <c r="P347" s="90">
        <f t="shared" si="188"/>
        <v>3026.0649758890249</v>
      </c>
      <c r="Q347" s="90">
        <f t="shared" si="188"/>
        <v>2748.7892636745751</v>
      </c>
    </row>
    <row r="348" spans="2:17">
      <c r="B348" s="110" t="str">
        <f>"- Tax Depreciation"</f>
        <v>- Tax Depreciation</v>
      </c>
      <c r="L348" s="90">
        <f t="shared" ref="L348:Q348" si="189">L336</f>
        <v>-1583.3346642112299</v>
      </c>
      <c r="M348" s="90">
        <f t="shared" si="189"/>
        <v>-1858.1185185056418</v>
      </c>
      <c r="N348" s="90">
        <f t="shared" si="189"/>
        <v>-2112.6442207628565</v>
      </c>
      <c r="O348" s="90">
        <f t="shared" si="189"/>
        <v>-2330.4953343650209</v>
      </c>
      <c r="P348" s="90">
        <f t="shared" si="189"/>
        <v>-2511.9808680339183</v>
      </c>
      <c r="Q348" s="90">
        <f t="shared" si="189"/>
        <v>-2653.2673256447306</v>
      </c>
    </row>
    <row r="349" spans="2:17" s="3" customFormat="1">
      <c r="B349" s="111" t="s">
        <v>186</v>
      </c>
      <c r="F349" s="58"/>
      <c r="G349" s="58"/>
      <c r="H349" s="58"/>
      <c r="I349" s="58"/>
      <c r="J349" s="58"/>
      <c r="K349" s="58"/>
      <c r="L349" s="93">
        <f ca="1">SUM(L346:L348)</f>
        <v>12533.218433117927</v>
      </c>
      <c r="M349" s="93">
        <f t="shared" ref="M349:Q349" ca="1" si="190">SUM(M346:M348)</f>
        <v>15162.497109415268</v>
      </c>
      <c r="N349" s="93">
        <f t="shared" ca="1" si="190"/>
        <v>17225.608419819473</v>
      </c>
      <c r="O349" s="93">
        <f t="shared" ca="1" si="190"/>
        <v>19666.753256495867</v>
      </c>
      <c r="P349" s="93">
        <f t="shared" ca="1" si="190"/>
        <v>22441.272315750193</v>
      </c>
      <c r="Q349" s="93">
        <f t="shared" ca="1" si="190"/>
        <v>23390.198346868627</v>
      </c>
    </row>
    <row r="351" spans="2:17" ht="19">
      <c r="B351" s="3" t="s">
        <v>414</v>
      </c>
    </row>
    <row r="352" spans="2:17">
      <c r="B352" s="110" t="s">
        <v>186</v>
      </c>
      <c r="L352" s="90">
        <f ca="1">L349</f>
        <v>12533.218433117927</v>
      </c>
      <c r="M352" s="90">
        <f t="shared" ref="M352:Q352" ca="1" si="191">M349</f>
        <v>15162.497109415268</v>
      </c>
      <c r="N352" s="90">
        <f t="shared" ca="1" si="191"/>
        <v>17225.608419819473</v>
      </c>
      <c r="O352" s="90">
        <f t="shared" ca="1" si="191"/>
        <v>19666.753256495867</v>
      </c>
      <c r="P352" s="90">
        <f t="shared" ca="1" si="191"/>
        <v>22441.272315750193</v>
      </c>
      <c r="Q352" s="90">
        <f t="shared" ca="1" si="191"/>
        <v>23390.198346868627</v>
      </c>
    </row>
    <row r="353" spans="2:17">
      <c r="B353" s="110" t="str">
        <f>"- Use of Tax Loses"</f>
        <v>- Use of Tax Loses</v>
      </c>
      <c r="L353" s="90">
        <f ca="1">L359</f>
        <v>-15</v>
      </c>
      <c r="M353" s="90">
        <f t="shared" ref="M353:Q353" ca="1" si="192">M359</f>
        <v>0</v>
      </c>
      <c r="N353" s="90">
        <f t="shared" ca="1" si="192"/>
        <v>0</v>
      </c>
      <c r="O353" s="90">
        <f t="shared" ca="1" si="192"/>
        <v>0</v>
      </c>
      <c r="P353" s="90">
        <f t="shared" ca="1" si="192"/>
        <v>0</v>
      </c>
      <c r="Q353" s="90">
        <f t="shared" ca="1" si="192"/>
        <v>0</v>
      </c>
    </row>
    <row r="354" spans="2:17" s="3" customFormat="1">
      <c r="B354" s="111" t="s">
        <v>189</v>
      </c>
      <c r="F354" s="58"/>
      <c r="G354" s="58"/>
      <c r="H354" s="58"/>
      <c r="I354" s="58"/>
      <c r="J354" s="58"/>
      <c r="K354" s="58"/>
      <c r="L354" s="93">
        <f ca="1">SUM(L352:L353)</f>
        <v>12518.218433117927</v>
      </c>
      <c r="M354" s="93">
        <f t="shared" ref="M354:Q354" ca="1" si="193">SUM(M352:M353)</f>
        <v>15162.497109415268</v>
      </c>
      <c r="N354" s="93">
        <f t="shared" ca="1" si="193"/>
        <v>17225.608419819473</v>
      </c>
      <c r="O354" s="93">
        <f t="shared" ca="1" si="193"/>
        <v>19666.753256495867</v>
      </c>
      <c r="P354" s="93">
        <f t="shared" ca="1" si="193"/>
        <v>22441.272315750193</v>
      </c>
      <c r="Q354" s="93">
        <f t="shared" ca="1" si="193"/>
        <v>23390.198346868627</v>
      </c>
    </row>
    <row r="356" spans="2:17">
      <c r="B356" s="3" t="s">
        <v>374</v>
      </c>
    </row>
    <row r="357" spans="2:17">
      <c r="B357" s="110" t="s">
        <v>167</v>
      </c>
      <c r="C357" s="25"/>
      <c r="D357" s="25"/>
      <c r="E357" s="25"/>
      <c r="F357" s="167"/>
      <c r="G357" s="167"/>
      <c r="H357" s="167"/>
      <c r="I357" s="167"/>
      <c r="J357" s="167"/>
      <c r="K357" s="167"/>
      <c r="L357" s="90">
        <f>K360</f>
        <v>15</v>
      </c>
      <c r="M357" s="90">
        <f t="shared" ref="M357:Q357" ca="1" si="194">L360</f>
        <v>0</v>
      </c>
      <c r="N357" s="90">
        <f t="shared" ca="1" si="194"/>
        <v>0</v>
      </c>
      <c r="O357" s="90">
        <f t="shared" ca="1" si="194"/>
        <v>0</v>
      </c>
      <c r="P357" s="90">
        <f t="shared" ca="1" si="194"/>
        <v>0</v>
      </c>
      <c r="Q357" s="90">
        <f t="shared" ca="1" si="194"/>
        <v>0</v>
      </c>
    </row>
    <row r="358" spans="2:17">
      <c r="B358" s="110" t="str">
        <f>"+ New Losses"</f>
        <v>+ New Losses</v>
      </c>
      <c r="C358" s="25"/>
      <c r="D358" s="25"/>
      <c r="E358" s="25"/>
      <c r="F358" s="167"/>
      <c r="G358" s="167"/>
      <c r="H358" s="167"/>
      <c r="I358" s="167"/>
      <c r="J358" s="167"/>
      <c r="K358" s="167"/>
      <c r="L358" s="90">
        <f t="shared" ref="L358:Q358" ca="1" si="195">MIN(0,L333)</f>
        <v>0</v>
      </c>
      <c r="M358" s="90">
        <f t="shared" ca="1" si="195"/>
        <v>0</v>
      </c>
      <c r="N358" s="90">
        <f t="shared" ca="1" si="195"/>
        <v>0</v>
      </c>
      <c r="O358" s="90">
        <f t="shared" ca="1" si="195"/>
        <v>0</v>
      </c>
      <c r="P358" s="90">
        <f t="shared" ca="1" si="195"/>
        <v>0</v>
      </c>
      <c r="Q358" s="90">
        <f t="shared" ca="1" si="195"/>
        <v>0</v>
      </c>
    </row>
    <row r="359" spans="2:17">
      <c r="B359" s="110" t="str">
        <f>"- Use of Tax Loses"</f>
        <v>- Use of Tax Loses</v>
      </c>
      <c r="C359" s="25"/>
      <c r="D359" s="25"/>
      <c r="E359" s="25"/>
      <c r="F359" s="167"/>
      <c r="G359" s="167"/>
      <c r="H359" s="167"/>
      <c r="I359" s="167"/>
      <c r="J359" s="167"/>
      <c r="K359" s="167"/>
      <c r="L359" s="90">
        <f t="shared" ref="L359:Q359" ca="1" si="196">-MIN(L357,L352)*L334</f>
        <v>-15</v>
      </c>
      <c r="M359" s="90">
        <f t="shared" ca="1" si="196"/>
        <v>0</v>
      </c>
      <c r="N359" s="90">
        <f t="shared" ca="1" si="196"/>
        <v>0</v>
      </c>
      <c r="O359" s="90">
        <f t="shared" ca="1" si="196"/>
        <v>0</v>
      </c>
      <c r="P359" s="90">
        <f t="shared" ca="1" si="196"/>
        <v>0</v>
      </c>
      <c r="Q359" s="90">
        <f t="shared" ca="1" si="196"/>
        <v>0</v>
      </c>
    </row>
    <row r="360" spans="2:17" s="3" customFormat="1">
      <c r="B360" s="111" t="s">
        <v>170</v>
      </c>
      <c r="C360" s="182"/>
      <c r="D360" s="182"/>
      <c r="E360" s="182"/>
      <c r="F360" s="123"/>
      <c r="G360" s="123"/>
      <c r="H360" s="123"/>
      <c r="I360" s="123"/>
      <c r="J360" s="123"/>
      <c r="K360" s="183">
        <f>Assumptions!K149</f>
        <v>15</v>
      </c>
      <c r="L360" s="93">
        <f ca="1">SUM(L357:L359)</f>
        <v>0</v>
      </c>
      <c r="M360" s="93">
        <f t="shared" ref="M360:Q360" ca="1" si="197">SUM(M357:M359)</f>
        <v>0</v>
      </c>
      <c r="N360" s="93">
        <f t="shared" ca="1" si="197"/>
        <v>0</v>
      </c>
      <c r="O360" s="93">
        <f t="shared" ca="1" si="197"/>
        <v>0</v>
      </c>
      <c r="P360" s="93">
        <f t="shared" ca="1" si="197"/>
        <v>0</v>
      </c>
      <c r="Q360" s="93">
        <f t="shared" ca="1" si="197"/>
        <v>0</v>
      </c>
    </row>
    <row r="362" spans="2:17">
      <c r="B362" s="119"/>
      <c r="C362" s="45"/>
      <c r="D362" s="45"/>
      <c r="E362" s="45"/>
      <c r="F362" s="62"/>
      <c r="G362" s="62"/>
      <c r="H362" s="62"/>
      <c r="I362" s="62"/>
      <c r="J362" s="62"/>
      <c r="K362" s="62"/>
      <c r="L362" s="62"/>
      <c r="M362" s="62"/>
      <c r="N362" s="62"/>
      <c r="O362" s="62"/>
      <c r="P362" s="62"/>
      <c r="Q362" s="62"/>
    </row>
    <row r="364" spans="2:17">
      <c r="B364" s="3" t="s">
        <v>352</v>
      </c>
    </row>
    <row r="365" spans="2:17">
      <c r="B365" s="110" t="s">
        <v>190</v>
      </c>
      <c r="L365" s="90">
        <f ca="1">L354*$E$340</f>
        <v>2303.3521916936984</v>
      </c>
      <c r="M365" s="90">
        <f t="shared" ref="M365:Q365" ca="1" si="198">M354*$E$340</f>
        <v>2789.8994681324093</v>
      </c>
      <c r="N365" s="90">
        <f t="shared" ca="1" si="198"/>
        <v>3169.5119492467829</v>
      </c>
      <c r="O365" s="90">
        <f t="shared" ca="1" si="198"/>
        <v>3618.6825991952396</v>
      </c>
      <c r="P365" s="90">
        <f t="shared" ca="1" si="198"/>
        <v>4129.1941060980353</v>
      </c>
      <c r="Q365" s="90">
        <f t="shared" ca="1" si="198"/>
        <v>4303.7964958238272</v>
      </c>
    </row>
    <row r="366" spans="2:17">
      <c r="B366" s="110" t="s">
        <v>33</v>
      </c>
      <c r="L366" s="91">
        <f ca="1">L367-L365</f>
        <v>-84.431837358187749</v>
      </c>
      <c r="M366" s="91">
        <f t="shared" ref="M366:Q366" ca="1" si="199">M367-M365</f>
        <v>-104.28436773523799</v>
      </c>
      <c r="N366" s="91">
        <f t="shared" ca="1" si="199"/>
        <v>-98.537957910250952</v>
      </c>
      <c r="O366" s="91">
        <f t="shared" ca="1" si="199"/>
        <v>-95.203625337691392</v>
      </c>
      <c r="P366" s="91">
        <f t="shared" ca="1" si="199"/>
        <v>-94.591475845339119</v>
      </c>
      <c r="Q366" s="91">
        <f t="shared" ca="1" si="199"/>
        <v>-17.576036597491111</v>
      </c>
    </row>
    <row r="367" spans="2:17" s="3" customFormat="1">
      <c r="B367" s="111" t="s">
        <v>191</v>
      </c>
      <c r="F367" s="68">
        <v>128.80000000000001</v>
      </c>
      <c r="G367" s="68">
        <v>600.70000000000005</v>
      </c>
      <c r="H367" s="68">
        <v>1063.8</v>
      </c>
      <c r="I367" s="68">
        <v>1018.6</v>
      </c>
      <c r="J367" s="68">
        <v>1629.2</v>
      </c>
      <c r="K367" s="68">
        <v>1817.7</v>
      </c>
      <c r="L367" s="96">
        <f ca="1">L346*$E$340</f>
        <v>2218.9203543355106</v>
      </c>
      <c r="M367" s="96">
        <f t="shared" ref="M367:Q367" ca="1" si="200">M346*$E$340</f>
        <v>2685.6151003971713</v>
      </c>
      <c r="N367" s="96">
        <f t="shared" ca="1" si="200"/>
        <v>3070.973991336532</v>
      </c>
      <c r="O367" s="96">
        <f t="shared" ca="1" si="200"/>
        <v>3523.4789738575482</v>
      </c>
      <c r="P367" s="96">
        <f t="shared" ca="1" si="200"/>
        <v>4034.6026302526961</v>
      </c>
      <c r="Q367" s="96">
        <f t="shared" ca="1" si="200"/>
        <v>4286.2204592263361</v>
      </c>
    </row>
    <row r="369" spans="1:17" s="337" customFormat="1" ht="13">
      <c r="Q369" s="337" t="s">
        <v>413</v>
      </c>
    </row>
    <row r="370" spans="1:17" s="375" customFormat="1" ht="13">
      <c r="Q370" s="375" t="s">
        <v>412</v>
      </c>
    </row>
    <row r="372" spans="1:17" ht="24">
      <c r="A372" s="1" t="s">
        <v>160</v>
      </c>
      <c r="B372" s="139" t="s">
        <v>259</v>
      </c>
      <c r="C372" s="140"/>
      <c r="D372" s="140"/>
      <c r="E372" s="140"/>
      <c r="F372" s="140"/>
      <c r="G372" s="140"/>
      <c r="H372" s="140"/>
      <c r="I372" s="140"/>
      <c r="J372" s="140"/>
      <c r="K372" s="140"/>
      <c r="L372" s="140"/>
      <c r="M372" s="140"/>
      <c r="N372" s="140"/>
      <c r="O372" s="140"/>
      <c r="P372" s="140"/>
      <c r="Q372" s="140"/>
    </row>
    <row r="373" spans="1:17">
      <c r="B373" s="126"/>
      <c r="C373" s="127"/>
      <c r="D373" s="127"/>
      <c r="E373" s="127"/>
      <c r="F373" s="127"/>
      <c r="G373" s="127"/>
      <c r="H373" s="127"/>
      <c r="I373" s="127"/>
      <c r="J373" s="127"/>
      <c r="K373" s="127"/>
      <c r="L373" s="127"/>
      <c r="M373" s="127"/>
      <c r="N373" s="127"/>
      <c r="O373" s="127"/>
      <c r="P373" s="127"/>
      <c r="Q373" s="127"/>
    </row>
    <row r="374" spans="1:17">
      <c r="B374" s="116" t="s">
        <v>130</v>
      </c>
      <c r="C374" s="71"/>
      <c r="D374" s="71"/>
      <c r="E374" s="71"/>
      <c r="F374" s="80"/>
      <c r="G374" s="80"/>
      <c r="H374" s="80"/>
      <c r="I374" s="80"/>
      <c r="J374" s="80"/>
      <c r="K374" s="80"/>
      <c r="L374" s="80"/>
      <c r="M374" s="80"/>
      <c r="N374" s="80"/>
      <c r="O374" s="80"/>
      <c r="P374" s="80"/>
      <c r="Q374" s="80"/>
    </row>
    <row r="375" spans="1:17">
      <c r="B375" s="117" t="str">
        <f>CONCATENATE("Running ", CHOOSE(Assumptions!$B$7,Assumptions!$B$13,Assumptions!$B$14,Assumptions!$B$15)," Model")</f>
        <v>Running Base Case Model</v>
      </c>
      <c r="C375" s="80"/>
      <c r="D375" s="80"/>
      <c r="E375" s="80"/>
      <c r="F375" s="80"/>
      <c r="G375" s="80"/>
      <c r="H375" s="80"/>
      <c r="I375" s="80"/>
      <c r="J375" s="80"/>
      <c r="K375" s="80"/>
      <c r="L375" s="81" t="s">
        <v>86</v>
      </c>
      <c r="M375" s="81"/>
      <c r="N375" s="81"/>
      <c r="O375" s="81"/>
      <c r="P375" s="81"/>
      <c r="Q375" s="81"/>
    </row>
    <row r="376" spans="1:17">
      <c r="B376" s="113"/>
      <c r="C376" s="80"/>
      <c r="D376" s="80"/>
      <c r="E376" s="80"/>
      <c r="F376" s="83" t="s">
        <v>38</v>
      </c>
      <c r="G376" s="83" t="s">
        <v>10</v>
      </c>
      <c r="H376" s="83" t="s">
        <v>11</v>
      </c>
      <c r="I376" s="83" t="s">
        <v>12</v>
      </c>
      <c r="J376" s="83" t="s">
        <v>13</v>
      </c>
      <c r="K376" s="83" t="s">
        <v>14</v>
      </c>
      <c r="L376" s="83" t="s">
        <v>15</v>
      </c>
      <c r="M376" s="83" t="s">
        <v>78</v>
      </c>
      <c r="N376" s="83" t="s">
        <v>79</v>
      </c>
      <c r="O376" s="83" t="s">
        <v>80</v>
      </c>
      <c r="P376" s="83" t="s">
        <v>81</v>
      </c>
      <c r="Q376" s="44" t="s">
        <v>295</v>
      </c>
    </row>
    <row r="377" spans="1:17">
      <c r="B377" s="113"/>
      <c r="C377" s="80"/>
      <c r="D377" s="80"/>
      <c r="E377" s="80"/>
      <c r="F377" s="169"/>
      <c r="G377" s="169"/>
      <c r="H377" s="169"/>
      <c r="I377" s="169"/>
      <c r="J377" s="169"/>
      <c r="K377" s="169"/>
      <c r="L377" s="169"/>
      <c r="M377" s="169"/>
      <c r="N377" s="169"/>
      <c r="O377" s="169"/>
      <c r="P377" s="169"/>
      <c r="Q377" s="169"/>
    </row>
    <row r="378" spans="1:17">
      <c r="B378" s="113" t="s">
        <v>0</v>
      </c>
      <c r="C378" s="80"/>
      <c r="D378" s="80"/>
      <c r="E378" s="80"/>
      <c r="F378" s="167">
        <f t="shared" ref="F378:Q378" si="201">F8</f>
        <v>11820</v>
      </c>
      <c r="G378" s="167">
        <f t="shared" si="201"/>
        <v>13978.5</v>
      </c>
      <c r="H378" s="167">
        <f t="shared" si="201"/>
        <v>18611</v>
      </c>
      <c r="I378" s="167">
        <f t="shared" si="201"/>
        <v>21173.4</v>
      </c>
      <c r="J378" s="167">
        <f t="shared" si="201"/>
        <v>27558.5</v>
      </c>
      <c r="K378" s="167">
        <f t="shared" si="201"/>
        <v>28262.9</v>
      </c>
      <c r="L378" s="90">
        <f t="shared" si="201"/>
        <v>33369.865684491982</v>
      </c>
      <c r="M378" s="90">
        <f t="shared" si="201"/>
        <v>38058.160173262033</v>
      </c>
      <c r="N378" s="90">
        <f t="shared" si="201"/>
        <v>41882.535679657223</v>
      </c>
      <c r="O378" s="90">
        <f t="shared" si="201"/>
        <v>46205.407440946183</v>
      </c>
      <c r="P378" s="90">
        <f t="shared" si="201"/>
        <v>51071.726850788938</v>
      </c>
      <c r="Q378" s="90">
        <f t="shared" si="201"/>
        <v>53049.841730122265</v>
      </c>
    </row>
    <row r="379" spans="1:17">
      <c r="B379" s="110" t="s">
        <v>247</v>
      </c>
      <c r="C379" s="80"/>
      <c r="D379" s="80"/>
      <c r="E379" s="80"/>
      <c r="F379" s="167">
        <f t="shared" ref="F379:K379" si="202">F59</f>
        <v>-76.900000000000006</v>
      </c>
      <c r="G379" s="167">
        <f t="shared" si="202"/>
        <v>1424.1</v>
      </c>
      <c r="H379" s="167">
        <f t="shared" si="202"/>
        <v>-73.5</v>
      </c>
      <c r="I379" s="167">
        <f t="shared" si="202"/>
        <v>-75.600000000000023</v>
      </c>
      <c r="J379" s="167">
        <f t="shared" si="202"/>
        <v>97.5</v>
      </c>
      <c r="K379" s="167">
        <f t="shared" si="202"/>
        <v>-84.2</v>
      </c>
      <c r="L379" s="90">
        <f>Assumptions!H160</f>
        <v>-80</v>
      </c>
      <c r="M379" s="90">
        <f>Assumptions!I160</f>
        <v>-80</v>
      </c>
      <c r="N379" s="90">
        <f>Assumptions!J160</f>
        <v>-80</v>
      </c>
      <c r="O379" s="90">
        <f>Assumptions!K160</f>
        <v>-80</v>
      </c>
      <c r="P379" s="90">
        <f>Assumptions!L160</f>
        <v>-80</v>
      </c>
      <c r="Q379" s="90">
        <f>Assumptions!M160</f>
        <v>0</v>
      </c>
    </row>
    <row r="380" spans="1:17">
      <c r="B380" s="110" t="s">
        <v>249</v>
      </c>
      <c r="C380" s="80"/>
      <c r="D380" s="80"/>
      <c r="E380" s="80"/>
      <c r="F380" s="167">
        <f t="shared" ref="F380:K380" si="203">-F54</f>
        <v>-0.9</v>
      </c>
      <c r="G380" s="167">
        <f t="shared" si="203"/>
        <v>12.2</v>
      </c>
      <c r="H380" s="167">
        <f t="shared" si="203"/>
        <v>124.4</v>
      </c>
      <c r="I380" s="167">
        <f t="shared" si="203"/>
        <v>240</v>
      </c>
      <c r="J380" s="167">
        <f t="shared" si="203"/>
        <v>561.5</v>
      </c>
      <c r="K380" s="167">
        <f t="shared" si="203"/>
        <v>526.20000000000005</v>
      </c>
      <c r="L380" s="90">
        <f>Assumptions!H161</f>
        <v>100</v>
      </c>
      <c r="M380" s="90">
        <f>Assumptions!I161</f>
        <v>100</v>
      </c>
      <c r="N380" s="90">
        <f>Assumptions!J161</f>
        <v>100</v>
      </c>
      <c r="O380" s="90">
        <f>Assumptions!K161</f>
        <v>100</v>
      </c>
      <c r="P380" s="90">
        <f>Assumptions!L161</f>
        <v>100</v>
      </c>
      <c r="Q380" s="90">
        <f>Assumptions!M161</f>
        <v>100</v>
      </c>
    </row>
    <row r="381" spans="1:17" s="113" customFormat="1"/>
    <row r="382" spans="1:17">
      <c r="B382" s="113"/>
      <c r="C382" s="80"/>
      <c r="D382" s="80"/>
      <c r="E382" s="80"/>
      <c r="F382" s="169"/>
      <c r="G382" s="169"/>
      <c r="H382" s="169"/>
      <c r="I382" s="169"/>
      <c r="J382" s="169"/>
      <c r="K382" s="169"/>
    </row>
    <row r="384" spans="1:17">
      <c r="B384" s="381" t="s">
        <v>424</v>
      </c>
      <c r="C384" s="382"/>
      <c r="D384" s="382"/>
      <c r="E384" s="382"/>
      <c r="F384" s="383"/>
      <c r="H384" s="294" t="s">
        <v>423</v>
      </c>
      <c r="I384" s="295"/>
      <c r="J384" s="295"/>
      <c r="K384" s="295"/>
      <c r="L384" s="295"/>
    </row>
    <row r="385" spans="2:17">
      <c r="B385" s="110" t="s">
        <v>420</v>
      </c>
      <c r="C385" s="80"/>
      <c r="D385" s="80"/>
      <c r="E385" s="194">
        <f>Assumptions!E168</f>
        <v>0.01</v>
      </c>
      <c r="F385" s="153" t="s">
        <v>98</v>
      </c>
      <c r="H385" s="110" t="s">
        <v>193</v>
      </c>
      <c r="I385" s="113"/>
      <c r="J385" s="80"/>
      <c r="K385" s="194">
        <f>Assumptions!E171</f>
        <v>3.4000000000000002E-2</v>
      </c>
      <c r="L385" s="153" t="s">
        <v>98</v>
      </c>
      <c r="M385" s="169"/>
      <c r="N385" s="169"/>
      <c r="O385" s="169"/>
      <c r="P385" s="169"/>
      <c r="Q385" s="169"/>
    </row>
    <row r="386" spans="2:17">
      <c r="B386" s="110" t="s">
        <v>421</v>
      </c>
      <c r="F386" s="153" t="s">
        <v>98</v>
      </c>
      <c r="H386" s="343" t="s">
        <v>194</v>
      </c>
      <c r="I386" s="385"/>
      <c r="J386" s="385"/>
      <c r="K386" s="384">
        <f>Assumptions!E172</f>
        <v>0.04</v>
      </c>
      <c r="L386" s="344" t="s">
        <v>98</v>
      </c>
      <c r="M386" s="169"/>
      <c r="N386" s="169"/>
      <c r="O386" s="169"/>
      <c r="P386" s="169"/>
      <c r="Q386" s="169"/>
    </row>
    <row r="387" spans="2:17">
      <c r="B387" s="343" t="s">
        <v>422</v>
      </c>
      <c r="C387" s="295"/>
      <c r="D387" s="295"/>
      <c r="E387" s="384">
        <f>Assumptions!E170</f>
        <v>0.01</v>
      </c>
      <c r="F387" s="344" t="s">
        <v>98</v>
      </c>
      <c r="M387" s="169"/>
      <c r="N387" s="169"/>
      <c r="O387" s="169"/>
      <c r="P387" s="169"/>
      <c r="Q387" s="169"/>
    </row>
    <row r="388" spans="2:17">
      <c r="G388" s="169"/>
      <c r="H388" s="169"/>
      <c r="I388" s="169"/>
      <c r="J388" s="169"/>
      <c r="K388" s="169"/>
      <c r="L388" s="169"/>
      <c r="M388" s="169"/>
      <c r="N388" s="169"/>
      <c r="O388" s="169"/>
      <c r="P388" s="169"/>
      <c r="Q388" s="169"/>
    </row>
    <row r="389" spans="2:17">
      <c r="B389" s="45"/>
      <c r="C389" s="45"/>
      <c r="D389" s="45"/>
      <c r="E389" s="45"/>
      <c r="F389" s="45"/>
      <c r="G389" s="45"/>
      <c r="H389" s="45"/>
      <c r="I389" s="45"/>
      <c r="J389" s="45"/>
      <c r="K389" s="45"/>
      <c r="L389" s="45"/>
      <c r="M389" s="45"/>
      <c r="N389" s="45"/>
      <c r="O389" s="45"/>
      <c r="P389" s="45"/>
      <c r="Q389" s="45"/>
    </row>
    <row r="391" spans="2:17">
      <c r="B391" s="3" t="s">
        <v>375</v>
      </c>
    </row>
    <row r="392" spans="2:17">
      <c r="B392" s="110" t="s">
        <v>199</v>
      </c>
      <c r="L392" s="90">
        <f t="shared" ref="L392:Q394" si="204">L67</f>
        <v>12735.900000000005</v>
      </c>
      <c r="M392" s="90">
        <f t="shared" ca="1" si="204"/>
        <v>14413.021727011039</v>
      </c>
      <c r="N392" s="90">
        <f t="shared" ca="1" si="204"/>
        <v>22446.790771635082</v>
      </c>
      <c r="O392" s="90">
        <f t="shared" ca="1" si="204"/>
        <v>31516.601877690384</v>
      </c>
      <c r="P392" s="90">
        <f t="shared" ca="1" si="204"/>
        <v>42799.88768593203</v>
      </c>
      <c r="Q392" s="90">
        <f t="shared" ca="1" si="204"/>
        <v>55539.255981189155</v>
      </c>
    </row>
    <row r="393" spans="2:17">
      <c r="B393" s="110" t="s">
        <v>200</v>
      </c>
      <c r="L393" s="90">
        <f t="shared" ca="1" si="204"/>
        <v>1677.1217270110337</v>
      </c>
      <c r="M393" s="90">
        <f t="shared" ca="1" si="204"/>
        <v>8033.7690446240413</v>
      </c>
      <c r="N393" s="90">
        <f t="shared" ca="1" si="204"/>
        <v>9069.8111060553019</v>
      </c>
      <c r="O393" s="90">
        <f t="shared" ca="1" si="204"/>
        <v>11283.285808241644</v>
      </c>
      <c r="P393" s="90">
        <f t="shared" ca="1" si="204"/>
        <v>12739.368295257123</v>
      </c>
      <c r="Q393" s="90">
        <f t="shared" ca="1" si="204"/>
        <v>11154.181049671868</v>
      </c>
    </row>
    <row r="394" spans="2:17" s="3" customFormat="1">
      <c r="B394" s="111" t="s">
        <v>198</v>
      </c>
      <c r="F394" s="58"/>
      <c r="G394" s="58"/>
      <c r="H394" s="58"/>
      <c r="I394" s="58"/>
      <c r="J394" s="58"/>
      <c r="K394" s="86">
        <f>L392</f>
        <v>12735.900000000005</v>
      </c>
      <c r="L394" s="93">
        <f t="shared" ca="1" si="204"/>
        <v>14413.021727011039</v>
      </c>
      <c r="M394" s="93">
        <f t="shared" ca="1" si="204"/>
        <v>22446.790771635082</v>
      </c>
      <c r="N394" s="93">
        <f t="shared" ca="1" si="204"/>
        <v>31516.601877690384</v>
      </c>
      <c r="O394" s="93">
        <f t="shared" ca="1" si="204"/>
        <v>42799.88768593203</v>
      </c>
      <c r="P394" s="93">
        <f t="shared" ca="1" si="204"/>
        <v>55539.255981189155</v>
      </c>
      <c r="Q394" s="93">
        <f t="shared" ca="1" si="204"/>
        <v>66693.437030861023</v>
      </c>
    </row>
    <row r="396" spans="2:17">
      <c r="B396" s="110" t="s">
        <v>195</v>
      </c>
      <c r="H396" s="58" t="s">
        <v>467</v>
      </c>
      <c r="L396" s="122">
        <f t="shared" ref="L396:Q396" si="205">$E$385</f>
        <v>0.01</v>
      </c>
      <c r="M396" s="122">
        <f t="shared" si="205"/>
        <v>0.01</v>
      </c>
      <c r="N396" s="122">
        <f t="shared" si="205"/>
        <v>0.01</v>
      </c>
      <c r="O396" s="122">
        <f t="shared" si="205"/>
        <v>0.01</v>
      </c>
      <c r="P396" s="122">
        <f t="shared" si="205"/>
        <v>0.01</v>
      </c>
      <c r="Q396" s="122">
        <f t="shared" si="205"/>
        <v>0.01</v>
      </c>
    </row>
    <row r="397" spans="2:17" s="3" customFormat="1">
      <c r="B397" s="111" t="s">
        <v>196</v>
      </c>
      <c r="F397" s="58"/>
      <c r="G397" s="58"/>
      <c r="H397" s="465">
        <f>Cover!E32</f>
        <v>1</v>
      </c>
      <c r="I397" s="58"/>
      <c r="J397" s="58"/>
      <c r="K397" s="58"/>
      <c r="L397" s="184">
        <f ca="1">IF($H$397=1,AVERAGE(L392,L394)*L396,L392*L396)</f>
        <v>135.74460863505524</v>
      </c>
      <c r="M397" s="94">
        <f t="shared" ref="M397:Q397" ca="1" si="206">IF($H$397=1,AVERAGE(M392,M394)*M396,M392*M396)</f>
        <v>184.29906249323059</v>
      </c>
      <c r="N397" s="94">
        <f t="shared" ca="1" si="206"/>
        <v>269.81696324662732</v>
      </c>
      <c r="O397" s="94">
        <f t="shared" ca="1" si="206"/>
        <v>371.58244781811203</v>
      </c>
      <c r="P397" s="94">
        <f t="shared" ca="1" si="206"/>
        <v>491.69571833560593</v>
      </c>
      <c r="Q397" s="95">
        <f t="shared" ca="1" si="206"/>
        <v>611.16346506025093</v>
      </c>
    </row>
    <row r="399" spans="2:17">
      <c r="B399" s="3" t="s">
        <v>376</v>
      </c>
    </row>
    <row r="400" spans="2:17">
      <c r="B400" s="110" t="s">
        <v>199</v>
      </c>
      <c r="L400" s="90">
        <f>K402</f>
        <v>1456.7</v>
      </c>
      <c r="M400" s="90">
        <f t="shared" ref="M400:Q400" si="207">L402</f>
        <v>1556.7</v>
      </c>
      <c r="N400" s="90">
        <f t="shared" si="207"/>
        <v>1656.7</v>
      </c>
      <c r="O400" s="90">
        <f t="shared" si="207"/>
        <v>1756.7</v>
      </c>
      <c r="P400" s="90">
        <f t="shared" si="207"/>
        <v>1856.7</v>
      </c>
      <c r="Q400" s="90">
        <f t="shared" si="207"/>
        <v>1956.7</v>
      </c>
    </row>
    <row r="401" spans="2:17">
      <c r="B401" s="110" t="s">
        <v>200</v>
      </c>
      <c r="L401" s="90">
        <f t="shared" ref="L401:Q401" si="208">L380</f>
        <v>100</v>
      </c>
      <c r="M401" s="90">
        <f t="shared" si="208"/>
        <v>100</v>
      </c>
      <c r="N401" s="90">
        <f t="shared" si="208"/>
        <v>100</v>
      </c>
      <c r="O401" s="90">
        <f t="shared" si="208"/>
        <v>100</v>
      </c>
      <c r="P401" s="90">
        <f t="shared" si="208"/>
        <v>100</v>
      </c>
      <c r="Q401" s="90">
        <f t="shared" si="208"/>
        <v>100</v>
      </c>
    </row>
    <row r="402" spans="2:17" s="3" customFormat="1">
      <c r="B402" s="111" t="s">
        <v>198</v>
      </c>
      <c r="F402" s="58"/>
      <c r="G402" s="58"/>
      <c r="H402" s="58"/>
      <c r="I402" s="58"/>
      <c r="J402" s="58"/>
      <c r="K402" s="86">
        <f>K93</f>
        <v>1456.7</v>
      </c>
      <c r="L402" s="93">
        <f>SUM(L400:L401)</f>
        <v>1556.7</v>
      </c>
      <c r="M402" s="93">
        <f t="shared" ref="M402" si="209">SUM(M400:M401)</f>
        <v>1656.7</v>
      </c>
      <c r="N402" s="93">
        <f t="shared" ref="N402" si="210">SUM(N400:N401)</f>
        <v>1756.7</v>
      </c>
      <c r="O402" s="93">
        <f t="shared" ref="O402" si="211">SUM(O400:O401)</f>
        <v>1856.7</v>
      </c>
      <c r="P402" s="93">
        <f t="shared" ref="P402" si="212">SUM(P400:P401)</f>
        <v>1956.7</v>
      </c>
      <c r="Q402" s="93">
        <f t="shared" ref="Q402" si="213">SUM(Q400:Q401)</f>
        <v>2056.6999999999998</v>
      </c>
    </row>
    <row r="404" spans="2:17">
      <c r="B404" s="110" t="s">
        <v>195</v>
      </c>
      <c r="L404" s="122">
        <f t="shared" ref="L404:Q404" si="214">$E$387</f>
        <v>0.01</v>
      </c>
      <c r="M404" s="122">
        <f t="shared" si="214"/>
        <v>0.01</v>
      </c>
      <c r="N404" s="122">
        <f t="shared" si="214"/>
        <v>0.01</v>
      </c>
      <c r="O404" s="122">
        <f t="shared" si="214"/>
        <v>0.01</v>
      </c>
      <c r="P404" s="122">
        <f t="shared" si="214"/>
        <v>0.01</v>
      </c>
      <c r="Q404" s="122">
        <f t="shared" si="214"/>
        <v>0.01</v>
      </c>
    </row>
    <row r="405" spans="2:17">
      <c r="B405" s="111" t="s">
        <v>240</v>
      </c>
      <c r="C405" s="3"/>
      <c r="D405" s="3"/>
      <c r="E405" s="3"/>
      <c r="F405" s="58"/>
      <c r="G405" s="58"/>
      <c r="H405" s="58"/>
      <c r="I405" s="58"/>
      <c r="J405" s="58"/>
      <c r="K405" s="58"/>
      <c r="L405" s="184">
        <f>AVERAGE(L402,L400)*L404</f>
        <v>15.067</v>
      </c>
      <c r="M405" s="94">
        <f t="shared" ref="M405:Q405" si="215">AVERAGE(M402,M400)*M404</f>
        <v>16.067</v>
      </c>
      <c r="N405" s="94">
        <f t="shared" si="215"/>
        <v>17.067</v>
      </c>
      <c r="O405" s="94">
        <f t="shared" si="215"/>
        <v>18.067</v>
      </c>
      <c r="P405" s="94">
        <f t="shared" si="215"/>
        <v>19.067</v>
      </c>
      <c r="Q405" s="95">
        <f t="shared" si="215"/>
        <v>20.067</v>
      </c>
    </row>
    <row r="406" spans="2:17">
      <c r="B406" s="111"/>
      <c r="C406" s="3"/>
      <c r="D406" s="3"/>
      <c r="E406" s="3"/>
      <c r="F406" s="58"/>
      <c r="G406" s="58"/>
      <c r="H406" s="58"/>
      <c r="I406" s="58"/>
      <c r="J406" s="58"/>
      <c r="K406" s="58"/>
      <c r="L406" s="123"/>
      <c r="M406" s="123"/>
      <c r="N406" s="123"/>
      <c r="O406" s="123"/>
      <c r="P406" s="123"/>
      <c r="Q406" s="123"/>
    </row>
    <row r="407" spans="2:17">
      <c r="B407" s="124"/>
      <c r="C407" s="120"/>
      <c r="D407" s="120"/>
      <c r="E407" s="120"/>
      <c r="F407" s="70"/>
      <c r="G407" s="70"/>
      <c r="H407" s="70"/>
      <c r="I407" s="70"/>
      <c r="J407" s="70"/>
      <c r="K407" s="70"/>
      <c r="L407" s="125"/>
      <c r="M407" s="125"/>
      <c r="N407" s="125"/>
      <c r="O407" s="125"/>
      <c r="P407" s="125"/>
      <c r="Q407" s="125"/>
    </row>
    <row r="408" spans="2:17">
      <c r="B408" s="111"/>
      <c r="C408" s="3"/>
      <c r="D408" s="3"/>
      <c r="E408" s="3"/>
      <c r="F408" s="58"/>
      <c r="G408" s="58"/>
      <c r="H408" s="58"/>
      <c r="I408" s="58"/>
      <c r="J408" s="58"/>
      <c r="K408" s="58"/>
      <c r="L408" s="123"/>
      <c r="M408" s="123"/>
      <c r="N408" s="123"/>
      <c r="O408" s="123"/>
      <c r="P408" s="123"/>
      <c r="Q408" s="123"/>
    </row>
    <row r="409" spans="2:17">
      <c r="B409" s="3" t="s">
        <v>381</v>
      </c>
    </row>
    <row r="410" spans="2:17">
      <c r="B410" s="110" t="s">
        <v>199</v>
      </c>
      <c r="L410" s="90">
        <f>K412</f>
        <v>3677.3</v>
      </c>
      <c r="M410" s="90">
        <f t="shared" ref="M410:Q410" si="216">L412</f>
        <v>3597.3</v>
      </c>
      <c r="N410" s="90">
        <f t="shared" si="216"/>
        <v>3517.3</v>
      </c>
      <c r="O410" s="90">
        <f t="shared" si="216"/>
        <v>3437.3</v>
      </c>
      <c r="P410" s="90">
        <f t="shared" si="216"/>
        <v>3357.3</v>
      </c>
      <c r="Q410" s="90">
        <f t="shared" si="216"/>
        <v>3277.3</v>
      </c>
    </row>
    <row r="411" spans="2:17">
      <c r="B411" s="110" t="s">
        <v>200</v>
      </c>
      <c r="L411" s="90">
        <f>Assumptions!H160</f>
        <v>-80</v>
      </c>
      <c r="M411" s="90">
        <f>Assumptions!I160</f>
        <v>-80</v>
      </c>
      <c r="N411" s="90">
        <f>Assumptions!J160</f>
        <v>-80</v>
      </c>
      <c r="O411" s="90">
        <f>Assumptions!K160</f>
        <v>-80</v>
      </c>
      <c r="P411" s="90">
        <f>Assumptions!L160</f>
        <v>-80</v>
      </c>
      <c r="Q411" s="90">
        <f>Assumptions!M160</f>
        <v>0</v>
      </c>
    </row>
    <row r="412" spans="2:17" s="3" customFormat="1">
      <c r="B412" s="111" t="s">
        <v>198</v>
      </c>
      <c r="F412" s="58"/>
      <c r="G412" s="58"/>
      <c r="H412" s="58"/>
      <c r="I412" s="58"/>
      <c r="J412" s="58"/>
      <c r="K412" s="86">
        <f>K106</f>
        <v>3677.3</v>
      </c>
      <c r="L412" s="93">
        <f>SUM(L410:L411)</f>
        <v>3597.3</v>
      </c>
      <c r="M412" s="93">
        <f t="shared" ref="M412:Q412" si="217">SUM(M410:M411)</f>
        <v>3517.3</v>
      </c>
      <c r="N412" s="93">
        <f t="shared" si="217"/>
        <v>3437.3</v>
      </c>
      <c r="O412" s="93">
        <f t="shared" si="217"/>
        <v>3357.3</v>
      </c>
      <c r="P412" s="93">
        <f t="shared" si="217"/>
        <v>3277.3</v>
      </c>
      <c r="Q412" s="93">
        <f t="shared" si="217"/>
        <v>3277.3</v>
      </c>
    </row>
    <row r="414" spans="2:17">
      <c r="B414" s="110" t="s">
        <v>195</v>
      </c>
      <c r="L414" s="122">
        <f t="shared" ref="L414:Q414" si="218">$K$385</f>
        <v>3.4000000000000002E-2</v>
      </c>
      <c r="M414" s="122">
        <f t="shared" si="218"/>
        <v>3.4000000000000002E-2</v>
      </c>
      <c r="N414" s="122">
        <f t="shared" si="218"/>
        <v>3.4000000000000002E-2</v>
      </c>
      <c r="O414" s="122">
        <f t="shared" si="218"/>
        <v>3.4000000000000002E-2</v>
      </c>
      <c r="P414" s="122">
        <f t="shared" si="218"/>
        <v>3.4000000000000002E-2</v>
      </c>
      <c r="Q414" s="122">
        <f t="shared" si="218"/>
        <v>3.4000000000000002E-2</v>
      </c>
    </row>
    <row r="415" spans="2:17">
      <c r="B415" s="111" t="s">
        <v>429</v>
      </c>
      <c r="C415" s="3"/>
      <c r="D415" s="3"/>
      <c r="E415" s="3"/>
      <c r="F415" s="58"/>
      <c r="G415" s="58"/>
      <c r="H415" s="58"/>
      <c r="I415" s="58"/>
      <c r="J415" s="58"/>
      <c r="K415" s="58"/>
      <c r="L415" s="94">
        <f>AVERAGE(L412,L410)*L414</f>
        <v>123.66820000000001</v>
      </c>
      <c r="M415" s="94">
        <f t="shared" ref="M415:Q415" si="219">AVERAGE(M412,M410)*M414</f>
        <v>120.94820000000001</v>
      </c>
      <c r="N415" s="94">
        <f t="shared" si="219"/>
        <v>118.22820000000002</v>
      </c>
      <c r="O415" s="94">
        <f t="shared" si="219"/>
        <v>115.50820000000002</v>
      </c>
      <c r="P415" s="94">
        <f t="shared" si="219"/>
        <v>112.78820000000002</v>
      </c>
      <c r="Q415" s="94">
        <f t="shared" si="219"/>
        <v>111.42820000000002</v>
      </c>
    </row>
    <row r="418" spans="2:17">
      <c r="B418" s="3" t="s">
        <v>382</v>
      </c>
    </row>
    <row r="419" spans="2:17">
      <c r="B419" s="110" t="s">
        <v>201</v>
      </c>
      <c r="L419" s="90">
        <f t="shared" ref="L419:Q419" si="220">L392</f>
        <v>12735.900000000005</v>
      </c>
      <c r="M419" s="90">
        <f t="shared" ca="1" si="220"/>
        <v>14413.021727011039</v>
      </c>
      <c r="N419" s="90">
        <f t="shared" ca="1" si="220"/>
        <v>22446.790771635082</v>
      </c>
      <c r="O419" s="90">
        <f t="shared" ca="1" si="220"/>
        <v>31516.601877690384</v>
      </c>
      <c r="P419" s="90">
        <f t="shared" ca="1" si="220"/>
        <v>42799.88768593203</v>
      </c>
      <c r="Q419" s="90">
        <f t="shared" ca="1" si="220"/>
        <v>55539.255981189155</v>
      </c>
    </row>
    <row r="420" spans="2:17">
      <c r="B420" s="110" t="s">
        <v>202</v>
      </c>
      <c r="L420" s="90">
        <f t="shared" ref="L420:Q420" ca="1" si="221">L49</f>
        <v>10093.427183601769</v>
      </c>
      <c r="M420" s="90">
        <f t="shared" ca="1" si="221"/>
        <v>16154.418421399951</v>
      </c>
      <c r="N420" s="90">
        <f t="shared" ca="1" si="221"/>
        <v>17768.778911299869</v>
      </c>
      <c r="O420" s="90">
        <f t="shared" ca="1" si="221"/>
        <v>20491.218753374134</v>
      </c>
      <c r="P420" s="90">
        <f t="shared" ca="1" si="221"/>
        <v>22662.164848105065</v>
      </c>
      <c r="Q420" s="90">
        <f t="shared" ca="1" si="221"/>
        <v>20404.95754701355</v>
      </c>
    </row>
    <row r="421" spans="2:17">
      <c r="B421" s="110" t="s">
        <v>203</v>
      </c>
      <c r="L421" s="90">
        <f t="shared" ref="L421:Q421" si="222">L56</f>
        <v>-3770.685225294118</v>
      </c>
      <c r="M421" s="90">
        <f t="shared" si="222"/>
        <v>-3905.816017326204</v>
      </c>
      <c r="N421" s="90">
        <f t="shared" si="222"/>
        <v>-3869.42821116915</v>
      </c>
      <c r="O421" s="90">
        <f t="shared" si="222"/>
        <v>-3796.4325952756944</v>
      </c>
      <c r="P421" s="90">
        <f t="shared" si="222"/>
        <v>-3675.0208795552262</v>
      </c>
      <c r="Q421" s="90">
        <f t="shared" si="222"/>
        <v>-3548.239712457947</v>
      </c>
    </row>
    <row r="422" spans="2:17">
      <c r="B422" s="110" t="s">
        <v>204</v>
      </c>
      <c r="L422" s="90">
        <f t="shared" ref="L422:Q422" si="223">L379</f>
        <v>-80</v>
      </c>
      <c r="M422" s="90">
        <f t="shared" si="223"/>
        <v>-80</v>
      </c>
      <c r="N422" s="90">
        <f t="shared" si="223"/>
        <v>-80</v>
      </c>
      <c r="O422" s="90">
        <f t="shared" si="223"/>
        <v>-80</v>
      </c>
      <c r="P422" s="90">
        <f t="shared" si="223"/>
        <v>-80</v>
      </c>
      <c r="Q422" s="90">
        <f t="shared" si="223"/>
        <v>0</v>
      </c>
    </row>
    <row r="423" spans="2:17">
      <c r="B423" s="110" t="s">
        <v>205</v>
      </c>
      <c r="L423" s="90">
        <f>Assumptions!H179</f>
        <v>-800</v>
      </c>
      <c r="M423" s="90">
        <f>Assumptions!I179</f>
        <v>-800</v>
      </c>
      <c r="N423" s="90">
        <f>Assumptions!J179</f>
        <v>-800</v>
      </c>
      <c r="O423" s="90">
        <f>Assumptions!K179</f>
        <v>-800</v>
      </c>
      <c r="P423" s="90">
        <f>Assumptions!L179</f>
        <v>-800</v>
      </c>
      <c r="Q423" s="90">
        <f>Assumptions!M179</f>
        <v>0</v>
      </c>
    </row>
    <row r="424" spans="2:17">
      <c r="B424" s="110" t="s">
        <v>206</v>
      </c>
      <c r="L424" s="90">
        <f t="shared" ref="L424:Q424" ca="1" si="224">L61</f>
        <v>-2755.3202312966168</v>
      </c>
      <c r="M424" s="90">
        <f t="shared" ca="1" si="224"/>
        <v>-3334.8333594497053</v>
      </c>
      <c r="N424" s="90">
        <f t="shared" ca="1" si="224"/>
        <v>-3949.5395940754179</v>
      </c>
      <c r="O424" s="90">
        <f t="shared" ca="1" si="224"/>
        <v>-4531.5003498567949</v>
      </c>
      <c r="P424" s="90">
        <f t="shared" ca="1" si="224"/>
        <v>-5367.7756732927173</v>
      </c>
      <c r="Q424" s="90">
        <f t="shared" ca="1" si="224"/>
        <v>-5702.5367848837332</v>
      </c>
    </row>
    <row r="425" spans="2:17" s="3" customFormat="1">
      <c r="B425" s="111" t="s">
        <v>207</v>
      </c>
      <c r="F425" s="58"/>
      <c r="G425" s="58"/>
      <c r="H425" s="58"/>
      <c r="I425" s="58"/>
      <c r="J425" s="58"/>
      <c r="K425" s="58"/>
      <c r="L425" s="93">
        <f ca="1">SUM(L419:L424)</f>
        <v>15423.32172701104</v>
      </c>
      <c r="M425" s="93">
        <f t="shared" ref="M425:Q425" ca="1" si="225">SUM(M419:M424)</f>
        <v>22446.790771635082</v>
      </c>
      <c r="N425" s="93">
        <f t="shared" ca="1" si="225"/>
        <v>31516.60187769038</v>
      </c>
      <c r="O425" s="93">
        <f t="shared" ca="1" si="225"/>
        <v>42799.88768593203</v>
      </c>
      <c r="P425" s="93">
        <f t="shared" ca="1" si="225"/>
        <v>55539.255981189155</v>
      </c>
      <c r="Q425" s="93">
        <f t="shared" ca="1" si="225"/>
        <v>66693.437030861023</v>
      </c>
    </row>
    <row r="427" spans="2:17">
      <c r="B427" s="3" t="s">
        <v>383</v>
      </c>
    </row>
    <row r="428" spans="2:17">
      <c r="B428" s="110" t="s">
        <v>199</v>
      </c>
      <c r="L428" s="90">
        <f>K430</f>
        <v>1010.3</v>
      </c>
      <c r="M428" s="90">
        <f t="shared" ref="M428:Q428" ca="1" si="226">L430</f>
        <v>0</v>
      </c>
      <c r="N428" s="90">
        <f t="shared" ca="1" si="226"/>
        <v>0</v>
      </c>
      <c r="O428" s="90">
        <f t="shared" ca="1" si="226"/>
        <v>0</v>
      </c>
      <c r="P428" s="90">
        <f t="shared" ca="1" si="226"/>
        <v>0</v>
      </c>
      <c r="Q428" s="90">
        <f t="shared" ca="1" si="226"/>
        <v>0</v>
      </c>
    </row>
    <row r="429" spans="2:17">
      <c r="B429" s="110" t="s">
        <v>200</v>
      </c>
      <c r="L429" s="90">
        <f ca="1">-MIN(L428,L425)</f>
        <v>-1010.3</v>
      </c>
      <c r="M429" s="90">
        <f t="shared" ref="M429:Q429" ca="1" si="227">-MIN(M428,M425)</f>
        <v>0</v>
      </c>
      <c r="N429" s="90">
        <f t="shared" ca="1" si="227"/>
        <v>0</v>
      </c>
      <c r="O429" s="90">
        <f t="shared" ca="1" si="227"/>
        <v>0</v>
      </c>
      <c r="P429" s="90">
        <f t="shared" ca="1" si="227"/>
        <v>0</v>
      </c>
      <c r="Q429" s="90">
        <f t="shared" ca="1" si="227"/>
        <v>0</v>
      </c>
    </row>
    <row r="430" spans="2:17" s="3" customFormat="1">
      <c r="B430" s="111" t="s">
        <v>198</v>
      </c>
      <c r="F430" s="58"/>
      <c r="G430" s="58"/>
      <c r="H430" s="58"/>
      <c r="I430" s="58"/>
      <c r="J430" s="58"/>
      <c r="K430" s="86">
        <f>K101</f>
        <v>1010.3</v>
      </c>
      <c r="L430" s="93">
        <f ca="1">SUM(L428:L429)</f>
        <v>0</v>
      </c>
      <c r="M430" s="93">
        <f t="shared" ref="M430:Q430" ca="1" si="228">SUM(M428:M429)</f>
        <v>0</v>
      </c>
      <c r="N430" s="93">
        <f t="shared" ca="1" si="228"/>
        <v>0</v>
      </c>
      <c r="O430" s="93">
        <f t="shared" ca="1" si="228"/>
        <v>0</v>
      </c>
      <c r="P430" s="93">
        <f t="shared" ca="1" si="228"/>
        <v>0</v>
      </c>
      <c r="Q430" s="93">
        <f t="shared" ca="1" si="228"/>
        <v>0</v>
      </c>
    </row>
    <row r="432" spans="2:17">
      <c r="B432" s="110" t="s">
        <v>195</v>
      </c>
      <c r="H432" s="58" t="s">
        <v>467</v>
      </c>
      <c r="L432" s="186">
        <f t="shared" ref="L432:Q432" si="229">$K$386</f>
        <v>0.04</v>
      </c>
      <c r="M432" s="186">
        <f t="shared" si="229"/>
        <v>0.04</v>
      </c>
      <c r="N432" s="186">
        <f t="shared" si="229"/>
        <v>0.04</v>
      </c>
      <c r="O432" s="186">
        <f t="shared" si="229"/>
        <v>0.04</v>
      </c>
      <c r="P432" s="186">
        <f t="shared" si="229"/>
        <v>0.04</v>
      </c>
      <c r="Q432" s="186">
        <f t="shared" si="229"/>
        <v>0.04</v>
      </c>
    </row>
    <row r="433" spans="1:17" s="3" customFormat="1">
      <c r="B433" s="111" t="s">
        <v>208</v>
      </c>
      <c r="F433" s="58"/>
      <c r="G433" s="58"/>
      <c r="H433" s="465">
        <f>Cover!E32</f>
        <v>1</v>
      </c>
      <c r="I433" s="58"/>
      <c r="J433" s="58"/>
      <c r="K433" s="58"/>
      <c r="L433" s="94">
        <f ca="1">IF($H$397=1,AVERAGE(L428,L430)*L432,L428*L432)</f>
        <v>20.206</v>
      </c>
      <c r="M433" s="94">
        <f t="shared" ref="M433:Q433" ca="1" si="230">IF($H$397=1,AVERAGE(M428,M430)*M432,M428*M432)</f>
        <v>0</v>
      </c>
      <c r="N433" s="94">
        <f t="shared" ca="1" si="230"/>
        <v>0</v>
      </c>
      <c r="O433" s="94">
        <f t="shared" ca="1" si="230"/>
        <v>0</v>
      </c>
      <c r="P433" s="94">
        <f t="shared" ca="1" si="230"/>
        <v>0</v>
      </c>
      <c r="Q433" s="94">
        <f t="shared" ca="1" si="230"/>
        <v>0</v>
      </c>
    </row>
    <row r="435" spans="1:17">
      <c r="B435" s="119"/>
      <c r="C435" s="45"/>
      <c r="D435" s="45"/>
      <c r="E435" s="45"/>
      <c r="F435" s="62"/>
      <c r="G435" s="62"/>
      <c r="H435" s="62"/>
      <c r="I435" s="62"/>
      <c r="J435" s="62"/>
      <c r="K435" s="62"/>
      <c r="L435" s="62"/>
      <c r="M435" s="62"/>
      <c r="N435" s="62"/>
      <c r="O435" s="62"/>
      <c r="P435" s="62"/>
      <c r="Q435" s="62"/>
    </row>
    <row r="437" spans="1:17">
      <c r="B437" s="110" t="s">
        <v>208</v>
      </c>
      <c r="L437" s="90">
        <f t="shared" ref="L437:Q437" ca="1" si="231">SUM(L433,L415)</f>
        <v>143.8742</v>
      </c>
      <c r="M437" s="90">
        <f t="shared" ca="1" si="231"/>
        <v>120.94820000000001</v>
      </c>
      <c r="N437" s="90">
        <f t="shared" ca="1" si="231"/>
        <v>118.22820000000002</v>
      </c>
      <c r="O437" s="90">
        <f t="shared" ca="1" si="231"/>
        <v>115.50820000000002</v>
      </c>
      <c r="P437" s="90">
        <f t="shared" ca="1" si="231"/>
        <v>112.78820000000002</v>
      </c>
      <c r="Q437" s="90">
        <f t="shared" ca="1" si="231"/>
        <v>111.42820000000002</v>
      </c>
    </row>
    <row r="438" spans="1:17">
      <c r="B438" s="110" t="str">
        <f>"- Interest Income"</f>
        <v>- Interest Income</v>
      </c>
      <c r="L438" s="90">
        <f t="shared" ref="L438:Q438" ca="1" si="232">-(L397+L405+L516+L524)</f>
        <v>-155.10684856139216</v>
      </c>
      <c r="M438" s="90">
        <f t="shared" ca="1" si="232"/>
        <v>-208.58115771678675</v>
      </c>
      <c r="N438" s="90">
        <f t="shared" ca="1" si="232"/>
        <v>-297.68166337059631</v>
      </c>
      <c r="O438" s="90">
        <f t="shared" ca="1" si="232"/>
        <v>-402.03877899124711</v>
      </c>
      <c r="P438" s="90">
        <f t="shared" ca="1" si="232"/>
        <v>-524.4614179598392</v>
      </c>
      <c r="Q438" s="90">
        <f t="shared" ca="1" si="232"/>
        <v>-646.10563799642114</v>
      </c>
    </row>
    <row r="439" spans="1:17">
      <c r="B439" s="111" t="s">
        <v>209</v>
      </c>
      <c r="L439" s="94">
        <f ca="1">SUM(L437:L438)</f>
        <v>-11.232648561392153</v>
      </c>
      <c r="M439" s="94">
        <f t="shared" ref="M439:Q439" ca="1" si="233">SUM(M437:M438)</f>
        <v>-87.632957716786734</v>
      </c>
      <c r="N439" s="94">
        <f t="shared" ca="1" si="233"/>
        <v>-179.4534633705963</v>
      </c>
      <c r="O439" s="94">
        <f t="shared" ca="1" si="233"/>
        <v>-286.53057899124713</v>
      </c>
      <c r="P439" s="94">
        <f t="shared" ca="1" si="233"/>
        <v>-411.67321795983918</v>
      </c>
      <c r="Q439" s="94">
        <f t="shared" ca="1" si="233"/>
        <v>-534.67743799642108</v>
      </c>
    </row>
    <row r="440" spans="1:17">
      <c r="B440" s="111"/>
      <c r="L440" s="123"/>
      <c r="M440" s="123"/>
      <c r="N440" s="123"/>
      <c r="O440" s="123"/>
      <c r="P440" s="123"/>
      <c r="Q440" s="123"/>
    </row>
    <row r="441" spans="1:17">
      <c r="B441" s="111"/>
      <c r="L441" s="123"/>
      <c r="M441" s="123"/>
      <c r="N441" s="123"/>
      <c r="O441" s="123"/>
      <c r="P441" s="123"/>
      <c r="Q441" s="123"/>
    </row>
    <row r="442" spans="1:17" ht="24">
      <c r="A442" s="1" t="s">
        <v>160</v>
      </c>
      <c r="B442" s="139" t="s">
        <v>468</v>
      </c>
      <c r="C442" s="140"/>
      <c r="D442" s="140"/>
      <c r="E442" s="140"/>
      <c r="F442" s="140"/>
      <c r="G442" s="140"/>
      <c r="H442" s="140"/>
      <c r="I442" s="140"/>
      <c r="J442" s="140"/>
      <c r="K442" s="140"/>
      <c r="L442" s="140"/>
      <c r="M442" s="140"/>
      <c r="N442" s="140"/>
      <c r="O442" s="140"/>
      <c r="P442" s="140"/>
      <c r="Q442" s="140"/>
    </row>
    <row r="443" spans="1:17">
      <c r="B443" s="126"/>
      <c r="C443" s="127"/>
      <c r="D443" s="127"/>
      <c r="E443" s="127"/>
      <c r="F443" s="127"/>
      <c r="G443" s="127"/>
      <c r="H443" s="127"/>
      <c r="I443" s="127"/>
      <c r="J443" s="127"/>
      <c r="K443" s="127"/>
      <c r="L443" s="127"/>
      <c r="M443" s="127"/>
      <c r="N443" s="127"/>
      <c r="O443" s="127"/>
      <c r="P443" s="127"/>
      <c r="Q443" s="127"/>
    </row>
    <row r="444" spans="1:17">
      <c r="B444" s="116" t="s">
        <v>130</v>
      </c>
      <c r="C444" s="71"/>
      <c r="D444" s="71"/>
      <c r="E444" s="71"/>
      <c r="F444" s="80"/>
      <c r="G444" s="80"/>
      <c r="H444" s="80"/>
      <c r="I444" s="80"/>
      <c r="J444" s="80"/>
      <c r="K444" s="80"/>
      <c r="L444" s="80"/>
      <c r="M444" s="80"/>
      <c r="N444" s="80"/>
      <c r="O444" s="80"/>
      <c r="P444" s="80"/>
      <c r="Q444" s="80"/>
    </row>
    <row r="445" spans="1:17">
      <c r="B445" s="117" t="str">
        <f>CONCATENATE("Running ", CHOOSE(Assumptions!$B$7,Assumptions!$B$13,Assumptions!$B$14,Assumptions!$B$15)," Model")</f>
        <v>Running Base Case Model</v>
      </c>
      <c r="C445" s="80"/>
      <c r="D445" s="80"/>
      <c r="E445" s="80"/>
      <c r="F445" s="80"/>
      <c r="G445" s="80"/>
      <c r="H445" s="80"/>
      <c r="I445" s="80"/>
      <c r="J445" s="80"/>
      <c r="K445" s="80"/>
      <c r="L445" s="81" t="s">
        <v>86</v>
      </c>
      <c r="M445" s="81"/>
      <c r="N445" s="81"/>
      <c r="O445" s="81"/>
      <c r="P445" s="81"/>
      <c r="Q445" s="81"/>
    </row>
    <row r="446" spans="1:17">
      <c r="B446" s="113"/>
      <c r="C446" s="80"/>
      <c r="D446" s="80"/>
      <c r="E446" s="80"/>
      <c r="F446" s="83" t="s">
        <v>38</v>
      </c>
      <c r="G446" s="83" t="s">
        <v>10</v>
      </c>
      <c r="H446" s="83" t="s">
        <v>11</v>
      </c>
      <c r="I446" s="83" t="s">
        <v>12</v>
      </c>
      <c r="J446" s="83" t="s">
        <v>13</v>
      </c>
      <c r="K446" s="83" t="s">
        <v>14</v>
      </c>
      <c r="L446" s="83" t="s">
        <v>15</v>
      </c>
      <c r="M446" s="83" t="s">
        <v>78</v>
      </c>
      <c r="N446" s="83" t="s">
        <v>79</v>
      </c>
      <c r="O446" s="83" t="s">
        <v>80</v>
      </c>
      <c r="P446" s="83" t="s">
        <v>81</v>
      </c>
      <c r="Q446" s="44" t="s">
        <v>295</v>
      </c>
    </row>
    <row r="447" spans="1:17">
      <c r="B447" s="110" t="s">
        <v>248</v>
      </c>
      <c r="C447" s="113"/>
      <c r="D447" s="113"/>
      <c r="E447" s="113"/>
      <c r="F447" s="167">
        <f>F$47</f>
        <v>-95.3</v>
      </c>
      <c r="G447" s="167">
        <f>G47</f>
        <v>-1125.4000000000001</v>
      </c>
      <c r="H447" s="167">
        <f>H47</f>
        <v>542.29999999999995</v>
      </c>
      <c r="I447" s="167">
        <f>I47</f>
        <v>212.2</v>
      </c>
      <c r="J447" s="167">
        <f>J47</f>
        <v>-88.6</v>
      </c>
      <c r="K447" s="167">
        <f>K47</f>
        <v>1038.7</v>
      </c>
      <c r="L447" s="90">
        <f>L378*Assumptions!H162</f>
        <v>1001.0959705347594</v>
      </c>
      <c r="M447" s="90">
        <f>M378*Assumptions!I162</f>
        <v>1141.7448051978608</v>
      </c>
      <c r="N447" s="90">
        <f>N378*Assumptions!J162</f>
        <v>1256.4760703897166</v>
      </c>
      <c r="O447" s="90">
        <f>O378*Assumptions!K162</f>
        <v>1386.1622232283855</v>
      </c>
      <c r="P447" s="90">
        <f>P378*Assumptions!L162</f>
        <v>1532.1518055236681</v>
      </c>
      <c r="Q447" s="90">
        <f>Q378*Assumptions!M162</f>
        <v>1591.4952519036678</v>
      </c>
    </row>
    <row r="448" spans="1:17">
      <c r="B448" s="111"/>
      <c r="L448" s="123"/>
      <c r="M448" s="123"/>
      <c r="N448" s="123"/>
      <c r="O448" s="123"/>
      <c r="P448" s="123"/>
      <c r="Q448" s="123"/>
    </row>
    <row r="449" spans="2:17">
      <c r="M449" s="123"/>
      <c r="N449" s="123"/>
      <c r="O449" s="123"/>
      <c r="P449" s="123"/>
      <c r="Q449" s="123"/>
    </row>
    <row r="450" spans="2:17">
      <c r="B450" s="294" t="s">
        <v>426</v>
      </c>
      <c r="C450" s="295"/>
      <c r="D450" s="295"/>
      <c r="E450" s="295"/>
      <c r="F450" s="333"/>
      <c r="H450" s="294" t="s">
        <v>425</v>
      </c>
      <c r="I450" s="295"/>
      <c r="J450" s="295"/>
      <c r="K450" s="295"/>
      <c r="L450" s="333"/>
      <c r="M450" s="123"/>
      <c r="N450" s="123"/>
      <c r="O450" s="123"/>
      <c r="P450" s="123"/>
      <c r="Q450" s="123"/>
    </row>
    <row r="451" spans="2:17">
      <c r="B451" s="110" t="s">
        <v>238</v>
      </c>
      <c r="E451" s="51">
        <f>Assumptions!E164</f>
        <v>2</v>
      </c>
      <c r="F451" s="153" t="s">
        <v>145</v>
      </c>
      <c r="H451" s="110" t="s">
        <v>238</v>
      </c>
      <c r="I451" s="1"/>
      <c r="J451" s="1"/>
      <c r="K451" s="53">
        <f>Assumptions!E165</f>
        <v>3</v>
      </c>
      <c r="L451" s="153" t="s">
        <v>145</v>
      </c>
      <c r="M451" s="123"/>
      <c r="N451" s="123"/>
      <c r="O451" s="123"/>
      <c r="P451" s="123"/>
      <c r="Q451" s="123"/>
    </row>
    <row r="452" spans="2:17">
      <c r="B452" s="110" t="s">
        <v>241</v>
      </c>
      <c r="E452" s="51">
        <f>K82</f>
        <v>82.6</v>
      </c>
      <c r="F452" s="153" t="s">
        <v>148</v>
      </c>
      <c r="H452" s="469" t="s">
        <v>469</v>
      </c>
      <c r="I452" s="470"/>
      <c r="J452" s="470"/>
      <c r="K452" s="473">
        <f>Assumptions!E169</f>
        <v>5.0000000000000001E-3</v>
      </c>
      <c r="L452" s="471" t="s">
        <v>98</v>
      </c>
      <c r="M452" s="123"/>
      <c r="N452" s="123"/>
      <c r="O452" s="123"/>
      <c r="P452" s="123"/>
      <c r="Q452" s="123"/>
    </row>
    <row r="453" spans="2:17">
      <c r="B453" s="110" t="s">
        <v>242</v>
      </c>
      <c r="E453" s="51">
        <f>K92</f>
        <v>317.2</v>
      </c>
      <c r="F453" s="153" t="s">
        <v>148</v>
      </c>
      <c r="L453" s="123"/>
      <c r="M453" s="123"/>
      <c r="N453" s="123"/>
      <c r="O453" s="123"/>
      <c r="P453" s="123"/>
      <c r="Q453" s="123"/>
    </row>
    <row r="454" spans="2:17">
      <c r="B454" s="469" t="s">
        <v>469</v>
      </c>
      <c r="C454" s="470"/>
      <c r="D454" s="470"/>
      <c r="E454" s="472">
        <f>Assumptions!E169</f>
        <v>5.0000000000000001E-3</v>
      </c>
      <c r="F454" s="471" t="s">
        <v>98</v>
      </c>
      <c r="L454" s="123"/>
      <c r="M454" s="123"/>
      <c r="N454" s="123"/>
      <c r="O454" s="123"/>
      <c r="P454" s="123"/>
      <c r="Q454" s="123"/>
    </row>
    <row r="455" spans="2:17">
      <c r="L455" s="123"/>
      <c r="M455" s="123"/>
      <c r="N455" s="123"/>
      <c r="O455" s="123"/>
      <c r="P455" s="123"/>
      <c r="Q455" s="123"/>
    </row>
    <row r="456" spans="2:17">
      <c r="B456" s="119"/>
      <c r="C456" s="45"/>
      <c r="D456" s="45"/>
      <c r="E456" s="474"/>
      <c r="F456" s="155"/>
      <c r="G456" s="62"/>
      <c r="H456" s="62"/>
      <c r="I456" s="62"/>
      <c r="J456" s="62"/>
      <c r="K456" s="62"/>
      <c r="L456" s="125"/>
      <c r="M456" s="125"/>
      <c r="N456" s="125"/>
      <c r="O456" s="125"/>
      <c r="P456" s="125"/>
      <c r="Q456" s="125"/>
    </row>
    <row r="457" spans="2:17">
      <c r="F457" s="1"/>
      <c r="G457" s="1"/>
      <c r="H457" s="1"/>
      <c r="I457" s="1"/>
      <c r="J457" s="1"/>
      <c r="K457" s="1"/>
      <c r="L457" s="1"/>
      <c r="M457" s="1"/>
      <c r="N457" s="1"/>
      <c r="O457" s="1"/>
      <c r="P457" s="1"/>
      <c r="Q457" s="1"/>
    </row>
    <row r="458" spans="2:17">
      <c r="B458" s="3" t="s">
        <v>377</v>
      </c>
      <c r="L458" s="157" t="s">
        <v>261</v>
      </c>
      <c r="M458" s="157"/>
      <c r="N458" s="157"/>
      <c r="O458" s="157"/>
      <c r="P458" s="157"/>
      <c r="Q458" s="157"/>
    </row>
    <row r="459" spans="2:17">
      <c r="B459" s="1"/>
      <c r="F459" s="1"/>
      <c r="I459" s="114"/>
      <c r="L459" s="56" t="s">
        <v>150</v>
      </c>
      <c r="M459" s="56" t="s">
        <v>151</v>
      </c>
      <c r="N459" s="56" t="s">
        <v>152</v>
      </c>
      <c r="O459" s="56" t="s">
        <v>153</v>
      </c>
      <c r="P459" s="56" t="s">
        <v>154</v>
      </c>
      <c r="Q459" s="56" t="s">
        <v>155</v>
      </c>
    </row>
    <row r="460" spans="2:17">
      <c r="B460" s="1"/>
      <c r="F460" s="1"/>
      <c r="I460" s="114"/>
      <c r="L460" s="346">
        <f>MIN($E451-SUM($K460:K460),1)</f>
        <v>1</v>
      </c>
      <c r="M460" s="347">
        <f>MIN($E451-SUM($K460:L460),1)</f>
        <v>1</v>
      </c>
      <c r="N460" s="347">
        <f>MIN($E451-SUM($K460:M460),1)</f>
        <v>0</v>
      </c>
      <c r="O460" s="347">
        <f>MIN($E451-SUM($K460:N460),1)</f>
        <v>0</v>
      </c>
      <c r="P460" s="347">
        <f>MIN($E451-SUM($K460:O460),1)</f>
        <v>0</v>
      </c>
      <c r="Q460" s="348">
        <f>MIN($E451-SUM($K460:P460),1)</f>
        <v>0</v>
      </c>
    </row>
    <row r="461" spans="2:17">
      <c r="B461" s="1"/>
      <c r="F461" s="1"/>
      <c r="I461" s="114"/>
    </row>
    <row r="462" spans="2:17">
      <c r="B462" s="1"/>
      <c r="F462" s="1"/>
      <c r="I462" s="114"/>
    </row>
    <row r="463" spans="2:17">
      <c r="L463" s="157" t="s">
        <v>243</v>
      </c>
      <c r="M463" s="156"/>
      <c r="N463" s="156"/>
      <c r="O463" s="156"/>
      <c r="P463" s="156"/>
      <c r="Q463" s="156"/>
    </row>
    <row r="464" spans="2:17">
      <c r="I464" s="159" t="s">
        <v>158</v>
      </c>
      <c r="J464" s="159" t="s">
        <v>245</v>
      </c>
      <c r="K464" s="58" t="s">
        <v>246</v>
      </c>
      <c r="L464" s="56" t="str">
        <f t="shared" ref="L464:Q464" si="234">L376</f>
        <v>2025F</v>
      </c>
      <c r="M464" s="56" t="str">
        <f t="shared" si="234"/>
        <v>2026F</v>
      </c>
      <c r="N464" s="56" t="str">
        <f t="shared" si="234"/>
        <v>2027F</v>
      </c>
      <c r="O464" s="56" t="str">
        <f t="shared" si="234"/>
        <v>2028F</v>
      </c>
      <c r="P464" s="56" t="str">
        <f t="shared" si="234"/>
        <v>2029F</v>
      </c>
      <c r="Q464" s="56" t="str">
        <f t="shared" si="234"/>
        <v>2030F</v>
      </c>
    </row>
    <row r="465" spans="2:17">
      <c r="I465" s="386" t="str">
        <f>L376</f>
        <v>2025F</v>
      </c>
      <c r="J465" s="387">
        <f>E453</f>
        <v>317.2</v>
      </c>
      <c r="K465" s="388">
        <f>J465/E451</f>
        <v>158.6</v>
      </c>
      <c r="L465" s="389">
        <f>K465*L460</f>
        <v>158.6</v>
      </c>
      <c r="M465" s="389">
        <f t="shared" ref="M465:Q465" si="235">L465*M460</f>
        <v>158.6</v>
      </c>
      <c r="N465" s="389">
        <f t="shared" si="235"/>
        <v>0</v>
      </c>
      <c r="O465" s="389">
        <f t="shared" si="235"/>
        <v>0</v>
      </c>
      <c r="P465" s="389">
        <f t="shared" si="235"/>
        <v>0</v>
      </c>
      <c r="Q465" s="390">
        <f t="shared" si="235"/>
        <v>0</v>
      </c>
    </row>
    <row r="466" spans="2:17">
      <c r="I466" s="114"/>
      <c r="J466" s="114"/>
      <c r="K466" s="114"/>
      <c r="L466" s="10"/>
      <c r="M466" s="10"/>
      <c r="N466" s="10"/>
      <c r="O466" s="10"/>
      <c r="P466" s="10"/>
      <c r="Q466" s="10"/>
    </row>
    <row r="467" spans="2:17">
      <c r="I467" s="114"/>
      <c r="J467" s="114"/>
      <c r="K467" s="114"/>
      <c r="L467" s="10"/>
      <c r="M467" s="10"/>
      <c r="N467" s="10"/>
      <c r="O467" s="10"/>
      <c r="P467" s="10"/>
      <c r="Q467" s="10"/>
    </row>
    <row r="468" spans="2:17">
      <c r="I468" s="198"/>
      <c r="J468" s="198"/>
      <c r="K468" s="198"/>
      <c r="L468" s="157" t="s">
        <v>244</v>
      </c>
      <c r="M468" s="156"/>
      <c r="N468" s="156"/>
      <c r="O468" s="156"/>
      <c r="P468" s="156"/>
      <c r="Q468" s="156"/>
    </row>
    <row r="469" spans="2:17">
      <c r="I469" s="159" t="s">
        <v>158</v>
      </c>
      <c r="J469" s="159" t="s">
        <v>245</v>
      </c>
      <c r="K469" s="159" t="s">
        <v>246</v>
      </c>
      <c r="L469" s="56" t="str">
        <f t="shared" ref="L469:Q469" si="236">L376</f>
        <v>2025F</v>
      </c>
      <c r="M469" s="56" t="str">
        <f t="shared" si="236"/>
        <v>2026F</v>
      </c>
      <c r="N469" s="56" t="str">
        <f t="shared" si="236"/>
        <v>2027F</v>
      </c>
      <c r="O469" s="56" t="str">
        <f t="shared" si="236"/>
        <v>2028F</v>
      </c>
      <c r="P469" s="56" t="str">
        <f t="shared" si="236"/>
        <v>2029F</v>
      </c>
      <c r="Q469" s="56" t="str">
        <f t="shared" si="236"/>
        <v>2030F</v>
      </c>
    </row>
    <row r="470" spans="2:17">
      <c r="I470" s="386" t="str">
        <f>L376</f>
        <v>2025F</v>
      </c>
      <c r="J470" s="387">
        <f>E453</f>
        <v>317.2</v>
      </c>
      <c r="K470" s="388">
        <f>J470/E451</f>
        <v>158.6</v>
      </c>
      <c r="L470" s="389">
        <f>($J465-SUM($L465:L465))*L460</f>
        <v>158.6</v>
      </c>
      <c r="M470" s="389">
        <f>($J465-SUM($L465:M465))*M460</f>
        <v>0</v>
      </c>
      <c r="N470" s="389">
        <f>($J465-SUM($L465:N465))*N460</f>
        <v>0</v>
      </c>
      <c r="O470" s="389">
        <f>($J465-SUM($L465:O465))*O460</f>
        <v>0</v>
      </c>
      <c r="P470" s="389">
        <f>($J465-SUM($L465:P465))*P460</f>
        <v>0</v>
      </c>
      <c r="Q470" s="390">
        <f>($J465-SUM($L465:Q465))*Q460</f>
        <v>0</v>
      </c>
    </row>
    <row r="471" spans="2:17">
      <c r="I471" s="159"/>
      <c r="J471" s="166"/>
      <c r="L471" s="201"/>
      <c r="M471" s="201"/>
      <c r="N471" s="197"/>
      <c r="O471" s="197"/>
      <c r="P471" s="197"/>
      <c r="Q471" s="197"/>
    </row>
    <row r="472" spans="2:17">
      <c r="I472" s="159"/>
      <c r="J472" s="166"/>
      <c r="L472" s="197"/>
      <c r="M472" s="201"/>
      <c r="N472" s="197"/>
      <c r="O472" s="197"/>
      <c r="P472" s="197"/>
      <c r="Q472" s="197"/>
    </row>
    <row r="473" spans="2:17">
      <c r="B473" s="118"/>
      <c r="C473" s="46"/>
      <c r="D473" s="46"/>
      <c r="E473" s="46"/>
      <c r="F473" s="69"/>
      <c r="G473" s="69"/>
      <c r="H473" s="69"/>
      <c r="I473" s="199"/>
      <c r="J473" s="165"/>
      <c r="K473" s="69"/>
      <c r="L473" s="200"/>
      <c r="M473" s="202"/>
      <c r="N473" s="200"/>
      <c r="O473" s="200"/>
      <c r="P473" s="200"/>
      <c r="Q473" s="200"/>
    </row>
    <row r="474" spans="2:17">
      <c r="B474" s="3" t="s">
        <v>378</v>
      </c>
      <c r="I474" s="159"/>
      <c r="J474" s="166"/>
      <c r="L474" s="197"/>
      <c r="M474" s="201"/>
      <c r="N474" s="197"/>
      <c r="O474" s="197"/>
      <c r="P474" s="197"/>
      <c r="Q474" s="197"/>
    </row>
    <row r="475" spans="2:17">
      <c r="B475" s="1"/>
      <c r="F475" s="1"/>
      <c r="L475" s="157" t="s">
        <v>261</v>
      </c>
      <c r="M475" s="157"/>
      <c r="N475" s="157"/>
      <c r="O475" s="157"/>
      <c r="P475" s="157"/>
      <c r="Q475" s="157"/>
    </row>
    <row r="476" spans="2:17">
      <c r="B476" s="1"/>
      <c r="F476" s="1"/>
      <c r="L476" s="56" t="s">
        <v>150</v>
      </c>
      <c r="M476" s="56" t="s">
        <v>151</v>
      </c>
      <c r="N476" s="56" t="s">
        <v>152</v>
      </c>
      <c r="O476" s="56" t="s">
        <v>153</v>
      </c>
      <c r="P476" s="56" t="s">
        <v>154</v>
      </c>
      <c r="Q476" s="56" t="s">
        <v>155</v>
      </c>
    </row>
    <row r="477" spans="2:17">
      <c r="E477" s="212"/>
      <c r="L477" s="346">
        <f>IF(K477="",1,MIN($K451-SUM($K477:K477),1))</f>
        <v>1</v>
      </c>
      <c r="M477" s="347">
        <f>IF(L477="",1,MIN($K451-SUM($K477:L477),1))</f>
        <v>1</v>
      </c>
      <c r="N477" s="347">
        <f>IF(M477="",1,MIN($K451-SUM($K477:M477),1))</f>
        <v>1</v>
      </c>
      <c r="O477" s="347">
        <f>IF(N477="",1,MIN($K451-SUM($K477:N477),1))</f>
        <v>0</v>
      </c>
      <c r="P477" s="347">
        <f>IF(O477="",1,MIN($K451-SUM($K477:O477),1))</f>
        <v>0</v>
      </c>
      <c r="Q477" s="348">
        <f>IF(P477="",1,MIN($K451-SUM($K477:P477),1))</f>
        <v>0</v>
      </c>
    </row>
    <row r="479" spans="2:17">
      <c r="L479" s="157" t="s">
        <v>149</v>
      </c>
      <c r="M479" s="156"/>
      <c r="N479" s="156"/>
      <c r="O479" s="156"/>
      <c r="P479" s="156"/>
      <c r="Q479" s="156"/>
    </row>
    <row r="480" spans="2:17">
      <c r="I480" s="159" t="s">
        <v>158</v>
      </c>
      <c r="J480" s="159" t="s">
        <v>238</v>
      </c>
      <c r="K480" s="58"/>
      <c r="L480" s="56" t="str">
        <f t="shared" ref="L480:Q480" si="237">L376</f>
        <v>2025F</v>
      </c>
      <c r="M480" s="56" t="str">
        <f t="shared" si="237"/>
        <v>2026F</v>
      </c>
      <c r="N480" s="56" t="str">
        <f t="shared" si="237"/>
        <v>2027F</v>
      </c>
      <c r="O480" s="56" t="str">
        <f t="shared" si="237"/>
        <v>2028F</v>
      </c>
      <c r="P480" s="56" t="str">
        <f t="shared" si="237"/>
        <v>2029F</v>
      </c>
      <c r="Q480" s="56" t="str">
        <f t="shared" si="237"/>
        <v>2030F</v>
      </c>
    </row>
    <row r="481" spans="9:17">
      <c r="I481" s="349" t="str" cm="1">
        <f t="array" ref="I481:I486">TRANSPOSE(L376:Q376)</f>
        <v>2025F</v>
      </c>
      <c r="J481" s="391">
        <f t="shared" ref="J481:J486" si="238">$K$451</f>
        <v>3</v>
      </c>
      <c r="K481" s="351"/>
      <c r="L481" s="352">
        <f t="shared" ref="L481:Q481" si="239">L477</f>
        <v>1</v>
      </c>
      <c r="M481" s="353">
        <f t="shared" si="239"/>
        <v>1</v>
      </c>
      <c r="N481" s="353">
        <f t="shared" si="239"/>
        <v>1</v>
      </c>
      <c r="O481" s="353">
        <f t="shared" si="239"/>
        <v>0</v>
      </c>
      <c r="P481" s="353">
        <f t="shared" si="239"/>
        <v>0</v>
      </c>
      <c r="Q481" s="354">
        <f t="shared" si="239"/>
        <v>0</v>
      </c>
    </row>
    <row r="482" spans="9:17">
      <c r="I482" s="355" t="str">
        <v>2026F</v>
      </c>
      <c r="J482" s="198">
        <f t="shared" si="238"/>
        <v>3</v>
      </c>
      <c r="K482" s="162"/>
      <c r="L482" s="164">
        <f>K481</f>
        <v>0</v>
      </c>
      <c r="M482" s="356">
        <f t="shared" ref="M482:M486" si="240">L481</f>
        <v>1</v>
      </c>
      <c r="N482" s="356">
        <f t="shared" ref="N482:N486" si="241">M481</f>
        <v>1</v>
      </c>
      <c r="O482" s="356">
        <f t="shared" ref="O482:O486" si="242">N481</f>
        <v>1</v>
      </c>
      <c r="P482" s="356">
        <f t="shared" ref="P482:P486" si="243">O481</f>
        <v>0</v>
      </c>
      <c r="Q482" s="357">
        <f t="shared" ref="Q482:Q486" si="244">P481</f>
        <v>0</v>
      </c>
    </row>
    <row r="483" spans="9:17">
      <c r="I483" s="355" t="str">
        <v>2027F</v>
      </c>
      <c r="J483" s="198">
        <f t="shared" si="238"/>
        <v>3</v>
      </c>
      <c r="K483" s="162"/>
      <c r="L483" s="164">
        <f t="shared" ref="L483:L486" si="245">K482</f>
        <v>0</v>
      </c>
      <c r="M483" s="356">
        <f t="shared" si="240"/>
        <v>0</v>
      </c>
      <c r="N483" s="356">
        <f t="shared" si="241"/>
        <v>1</v>
      </c>
      <c r="O483" s="356">
        <f t="shared" si="242"/>
        <v>1</v>
      </c>
      <c r="P483" s="356">
        <f t="shared" si="243"/>
        <v>1</v>
      </c>
      <c r="Q483" s="357">
        <f t="shared" si="244"/>
        <v>0</v>
      </c>
    </row>
    <row r="484" spans="9:17">
      <c r="I484" s="355" t="str">
        <v>2028F</v>
      </c>
      <c r="J484" s="198">
        <f t="shared" si="238"/>
        <v>3</v>
      </c>
      <c r="K484" s="162"/>
      <c r="L484" s="164">
        <f t="shared" si="245"/>
        <v>0</v>
      </c>
      <c r="M484" s="356">
        <f t="shared" si="240"/>
        <v>0</v>
      </c>
      <c r="N484" s="356">
        <f t="shared" si="241"/>
        <v>0</v>
      </c>
      <c r="O484" s="356">
        <f t="shared" si="242"/>
        <v>1</v>
      </c>
      <c r="P484" s="356">
        <f t="shared" si="243"/>
        <v>1</v>
      </c>
      <c r="Q484" s="357">
        <f t="shared" si="244"/>
        <v>1</v>
      </c>
    </row>
    <row r="485" spans="9:17">
      <c r="I485" s="355" t="str">
        <v>2029F</v>
      </c>
      <c r="J485" s="198">
        <f t="shared" si="238"/>
        <v>3</v>
      </c>
      <c r="K485" s="162"/>
      <c r="L485" s="164">
        <f t="shared" si="245"/>
        <v>0</v>
      </c>
      <c r="M485" s="356">
        <f t="shared" si="240"/>
        <v>0</v>
      </c>
      <c r="N485" s="356">
        <f t="shared" si="241"/>
        <v>0</v>
      </c>
      <c r="O485" s="356">
        <f t="shared" si="242"/>
        <v>0</v>
      </c>
      <c r="P485" s="356">
        <f t="shared" si="243"/>
        <v>1</v>
      </c>
      <c r="Q485" s="357">
        <f t="shared" si="244"/>
        <v>1</v>
      </c>
    </row>
    <row r="486" spans="9:17">
      <c r="I486" s="358" t="str">
        <v>2030F</v>
      </c>
      <c r="J486" s="331">
        <f t="shared" si="238"/>
        <v>3</v>
      </c>
      <c r="K486" s="360"/>
      <c r="L486" s="361">
        <f t="shared" si="245"/>
        <v>0</v>
      </c>
      <c r="M486" s="362">
        <f t="shared" si="240"/>
        <v>0</v>
      </c>
      <c r="N486" s="362">
        <f t="shared" si="241"/>
        <v>0</v>
      </c>
      <c r="O486" s="362">
        <f t="shared" si="242"/>
        <v>0</v>
      </c>
      <c r="P486" s="362">
        <f t="shared" si="243"/>
        <v>0</v>
      </c>
      <c r="Q486" s="363">
        <f t="shared" si="244"/>
        <v>1</v>
      </c>
    </row>
    <row r="488" spans="9:17">
      <c r="L488" s="53">
        <f>L491+L465</f>
        <v>492.29865684491983</v>
      </c>
    </row>
    <row r="489" spans="9:17">
      <c r="L489" s="157" t="s">
        <v>243</v>
      </c>
      <c r="M489" s="156"/>
      <c r="N489" s="156"/>
      <c r="O489" s="156"/>
      <c r="P489" s="156"/>
      <c r="Q489" s="156"/>
    </row>
    <row r="490" spans="9:17">
      <c r="I490" s="159" t="s">
        <v>158</v>
      </c>
      <c r="J490" s="159" t="s">
        <v>236</v>
      </c>
      <c r="K490" s="159" t="s">
        <v>159</v>
      </c>
      <c r="L490" s="56" t="str">
        <f>L$376</f>
        <v>2025F</v>
      </c>
      <c r="M490" s="56" t="str">
        <f t="shared" ref="M490:Q490" si="246">M$376</f>
        <v>2026F</v>
      </c>
      <c r="N490" s="56" t="str">
        <f t="shared" si="246"/>
        <v>2027F</v>
      </c>
      <c r="O490" s="56" t="str">
        <f t="shared" si="246"/>
        <v>2028F</v>
      </c>
      <c r="P490" s="56" t="str">
        <f t="shared" si="246"/>
        <v>2029F</v>
      </c>
      <c r="Q490" s="56" t="str">
        <f t="shared" si="246"/>
        <v>2030F</v>
      </c>
    </row>
    <row r="491" spans="9:17">
      <c r="I491" s="349" t="str" cm="1">
        <f t="array" ref="I491:I496">TRANSPOSE($L$376:$Q$376)</f>
        <v>2025F</v>
      </c>
      <c r="J491" s="392">
        <f t="shared" ref="J491:J496" si="247">_xlfn.XLOOKUP(I491,$L$376:$Q$376,$L$447:$Q$447)</f>
        <v>1001.0959705347594</v>
      </c>
      <c r="K491" s="364">
        <f t="shared" ref="K491:K496" si="248">J491/$K$451</f>
        <v>333.69865684491981</v>
      </c>
      <c r="L491" s="365">
        <f t="shared" ref="L491:Q496" si="249">$K491*L481</f>
        <v>333.69865684491981</v>
      </c>
      <c r="M491" s="366">
        <f t="shared" si="249"/>
        <v>333.69865684491981</v>
      </c>
      <c r="N491" s="366">
        <f t="shared" si="249"/>
        <v>333.69865684491981</v>
      </c>
      <c r="O491" s="366">
        <f t="shared" si="249"/>
        <v>0</v>
      </c>
      <c r="P491" s="366">
        <f t="shared" si="249"/>
        <v>0</v>
      </c>
      <c r="Q491" s="367">
        <f t="shared" si="249"/>
        <v>0</v>
      </c>
    </row>
    <row r="492" spans="9:17">
      <c r="I492" s="355" t="str">
        <v>2026F</v>
      </c>
      <c r="J492" s="393">
        <f t="shared" si="247"/>
        <v>1141.7448051978608</v>
      </c>
      <c r="K492" s="368">
        <f t="shared" si="248"/>
        <v>380.5816017326203</v>
      </c>
      <c r="L492" s="160">
        <f t="shared" si="249"/>
        <v>0</v>
      </c>
      <c r="M492" s="90">
        <f t="shared" si="249"/>
        <v>380.5816017326203</v>
      </c>
      <c r="N492" s="90">
        <f t="shared" si="249"/>
        <v>380.5816017326203</v>
      </c>
      <c r="O492" s="90">
        <f t="shared" si="249"/>
        <v>380.5816017326203</v>
      </c>
      <c r="P492" s="90">
        <f t="shared" si="249"/>
        <v>0</v>
      </c>
      <c r="Q492" s="369">
        <f t="shared" si="249"/>
        <v>0</v>
      </c>
    </row>
    <row r="493" spans="9:17">
      <c r="I493" s="355" t="str">
        <v>2027F</v>
      </c>
      <c r="J493" s="393">
        <f t="shared" si="247"/>
        <v>1256.4760703897166</v>
      </c>
      <c r="K493" s="368">
        <f t="shared" si="248"/>
        <v>418.82535679657218</v>
      </c>
      <c r="L493" s="160">
        <f t="shared" si="249"/>
        <v>0</v>
      </c>
      <c r="M493" s="90">
        <f t="shared" si="249"/>
        <v>0</v>
      </c>
      <c r="N493" s="90">
        <f t="shared" si="249"/>
        <v>418.82535679657218</v>
      </c>
      <c r="O493" s="90">
        <f t="shared" si="249"/>
        <v>418.82535679657218</v>
      </c>
      <c r="P493" s="90">
        <f t="shared" si="249"/>
        <v>418.82535679657218</v>
      </c>
      <c r="Q493" s="369">
        <f t="shared" si="249"/>
        <v>0</v>
      </c>
    </row>
    <row r="494" spans="9:17">
      <c r="I494" s="355" t="str">
        <v>2028F</v>
      </c>
      <c r="J494" s="393">
        <f t="shared" si="247"/>
        <v>1386.1622232283855</v>
      </c>
      <c r="K494" s="368">
        <f t="shared" si="248"/>
        <v>462.05407440946186</v>
      </c>
      <c r="L494" s="160">
        <f t="shared" si="249"/>
        <v>0</v>
      </c>
      <c r="M494" s="90">
        <f t="shared" si="249"/>
        <v>0</v>
      </c>
      <c r="N494" s="90">
        <f t="shared" si="249"/>
        <v>0</v>
      </c>
      <c r="O494" s="90">
        <f t="shared" si="249"/>
        <v>462.05407440946186</v>
      </c>
      <c r="P494" s="90">
        <f t="shared" si="249"/>
        <v>462.05407440946186</v>
      </c>
      <c r="Q494" s="369">
        <f t="shared" si="249"/>
        <v>462.05407440946186</v>
      </c>
    </row>
    <row r="495" spans="9:17">
      <c r="I495" s="355" t="str">
        <v>2029F</v>
      </c>
      <c r="J495" s="393">
        <f t="shared" si="247"/>
        <v>1532.1518055236681</v>
      </c>
      <c r="K495" s="368">
        <f t="shared" si="248"/>
        <v>510.7172685078894</v>
      </c>
      <c r="L495" s="160">
        <f t="shared" si="249"/>
        <v>0</v>
      </c>
      <c r="M495" s="90">
        <f t="shared" si="249"/>
        <v>0</v>
      </c>
      <c r="N495" s="90">
        <f t="shared" si="249"/>
        <v>0</v>
      </c>
      <c r="O495" s="90">
        <f t="shared" si="249"/>
        <v>0</v>
      </c>
      <c r="P495" s="90">
        <f t="shared" si="249"/>
        <v>510.7172685078894</v>
      </c>
      <c r="Q495" s="369">
        <f t="shared" si="249"/>
        <v>510.7172685078894</v>
      </c>
    </row>
    <row r="496" spans="9:17">
      <c r="I496" s="358" t="str">
        <v>2030F</v>
      </c>
      <c r="J496" s="394">
        <f t="shared" si="247"/>
        <v>1591.4952519036678</v>
      </c>
      <c r="K496" s="370">
        <f t="shared" si="248"/>
        <v>530.49841730122262</v>
      </c>
      <c r="L496" s="371">
        <f t="shared" si="249"/>
        <v>0</v>
      </c>
      <c r="M496" s="372">
        <f t="shared" si="249"/>
        <v>0</v>
      </c>
      <c r="N496" s="372">
        <f t="shared" si="249"/>
        <v>0</v>
      </c>
      <c r="O496" s="372">
        <f t="shared" si="249"/>
        <v>0</v>
      </c>
      <c r="P496" s="372">
        <f t="shared" si="249"/>
        <v>0</v>
      </c>
      <c r="Q496" s="373">
        <f t="shared" si="249"/>
        <v>530.49841730122262</v>
      </c>
    </row>
    <row r="497" spans="2:17">
      <c r="B497" s="111"/>
      <c r="C497" s="3"/>
      <c r="D497" s="3"/>
      <c r="E497" s="3"/>
      <c r="F497" s="58"/>
      <c r="G497" s="58"/>
      <c r="H497" s="58"/>
      <c r="I497" s="58"/>
      <c r="J497" s="58"/>
      <c r="K497" s="58"/>
      <c r="L497" s="123"/>
      <c r="M497" s="123"/>
      <c r="N497" s="123"/>
      <c r="O497" s="123"/>
      <c r="P497" s="123"/>
      <c r="Q497" s="123"/>
    </row>
    <row r="498" spans="2:17">
      <c r="B498" s="111"/>
      <c r="C498" s="3"/>
      <c r="D498" s="3"/>
      <c r="E498" s="3"/>
      <c r="F498" s="58"/>
      <c r="G498" s="58"/>
      <c r="H498" s="58"/>
      <c r="I498" s="58"/>
      <c r="J498" s="58"/>
      <c r="K498" s="58"/>
      <c r="L498" s="123"/>
      <c r="M498" s="123"/>
      <c r="N498" s="123"/>
      <c r="O498" s="123"/>
      <c r="P498" s="123"/>
      <c r="Q498" s="123"/>
    </row>
    <row r="499" spans="2:17">
      <c r="B499" s="111"/>
      <c r="C499" s="3"/>
      <c r="D499" s="3"/>
      <c r="E499" s="3"/>
      <c r="F499" s="58"/>
      <c r="G499" s="58"/>
      <c r="H499" s="58"/>
      <c r="L499" s="157" t="s">
        <v>244</v>
      </c>
      <c r="M499" s="156"/>
      <c r="N499" s="156"/>
      <c r="O499" s="156"/>
      <c r="P499" s="156"/>
      <c r="Q499" s="156"/>
    </row>
    <row r="500" spans="2:17">
      <c r="B500" s="111"/>
      <c r="C500" s="3"/>
      <c r="D500" s="3"/>
      <c r="E500" s="3"/>
      <c r="F500" s="58"/>
      <c r="G500" s="58"/>
      <c r="H500" s="58"/>
      <c r="I500" s="159" t="s">
        <v>158</v>
      </c>
      <c r="J500" s="159" t="s">
        <v>236</v>
      </c>
      <c r="K500" s="159" t="s">
        <v>159</v>
      </c>
      <c r="L500" s="56" t="str">
        <f>L$376</f>
        <v>2025F</v>
      </c>
      <c r="M500" s="56" t="str">
        <f t="shared" ref="M500:Q500" si="250">M$376</f>
        <v>2026F</v>
      </c>
      <c r="N500" s="56" t="str">
        <f t="shared" si="250"/>
        <v>2027F</v>
      </c>
      <c r="O500" s="56" t="str">
        <f t="shared" si="250"/>
        <v>2028F</v>
      </c>
      <c r="P500" s="56" t="str">
        <f t="shared" si="250"/>
        <v>2029F</v>
      </c>
      <c r="Q500" s="56" t="str">
        <f t="shared" si="250"/>
        <v>2030F</v>
      </c>
    </row>
    <row r="501" spans="2:17">
      <c r="B501" s="111"/>
      <c r="C501" s="3"/>
      <c r="D501" s="3"/>
      <c r="E501" s="3"/>
      <c r="F501" s="58"/>
      <c r="G501" s="58"/>
      <c r="H501" s="58"/>
      <c r="I501" s="349" t="str" cm="1">
        <f t="array" ref="I501:I506">TRANSPOSE($L$376:$Q$376)</f>
        <v>2025F</v>
      </c>
      <c r="J501" s="392">
        <f t="shared" ref="J501:J506" si="251">_xlfn.XLOOKUP(I501,$L$376:$Q$376,$L$447:$Q$447)</f>
        <v>1001.0959705347594</v>
      </c>
      <c r="K501" s="364">
        <f t="shared" ref="K501:K506" si="252">J501/$K$451</f>
        <v>333.69865684491981</v>
      </c>
      <c r="L501" s="365">
        <f>($J491-SUM($L491:L491))*L481</f>
        <v>667.39731368983962</v>
      </c>
      <c r="M501" s="366">
        <f>($J491-SUM($L491:M491))*M481</f>
        <v>333.69865684491981</v>
      </c>
      <c r="N501" s="366">
        <f>($J491-SUM($L491:N491))*N481</f>
        <v>0</v>
      </c>
      <c r="O501" s="366">
        <f>($J491-SUM($L491:O491))*O481</f>
        <v>0</v>
      </c>
      <c r="P501" s="366">
        <f>($J491-SUM($L491:P491))*P481</f>
        <v>0</v>
      </c>
      <c r="Q501" s="367">
        <f>($J491-SUM($L491:Q491))*Q481</f>
        <v>0</v>
      </c>
    </row>
    <row r="502" spans="2:17">
      <c r="B502" s="111"/>
      <c r="C502" s="3"/>
      <c r="D502" s="3"/>
      <c r="E502" s="3"/>
      <c r="F502" s="58"/>
      <c r="G502" s="58"/>
      <c r="H502" s="58"/>
      <c r="I502" s="355" t="str">
        <v>2026F</v>
      </c>
      <c r="J502" s="393">
        <f t="shared" si="251"/>
        <v>1141.7448051978608</v>
      </c>
      <c r="K502" s="368">
        <f t="shared" si="252"/>
        <v>380.5816017326203</v>
      </c>
      <c r="L502" s="160">
        <f>($J492-SUM($L492:L492))*L482</f>
        <v>0</v>
      </c>
      <c r="M502" s="90">
        <f>($J492-SUM($L492:M492))*M482</f>
        <v>761.16320346524049</v>
      </c>
      <c r="N502" s="90">
        <f>($J492-SUM($L492:N492))*N482</f>
        <v>380.58160173262024</v>
      </c>
      <c r="O502" s="90">
        <f>($J492-SUM($L492:O492))*O482</f>
        <v>0</v>
      </c>
      <c r="P502" s="90">
        <f>($J492-SUM($L492:P492))*P482</f>
        <v>0</v>
      </c>
      <c r="Q502" s="369">
        <f>($J492-SUM($L492:Q492))*Q482</f>
        <v>0</v>
      </c>
    </row>
    <row r="503" spans="2:17">
      <c r="B503" s="111"/>
      <c r="C503" s="3"/>
      <c r="D503" s="3"/>
      <c r="E503" s="3"/>
      <c r="F503" s="58"/>
      <c r="G503" s="58"/>
      <c r="H503" s="58"/>
      <c r="I503" s="355" t="str">
        <v>2027F</v>
      </c>
      <c r="J503" s="393">
        <f t="shared" si="251"/>
        <v>1256.4760703897166</v>
      </c>
      <c r="K503" s="368">
        <f t="shared" si="252"/>
        <v>418.82535679657218</v>
      </c>
      <c r="L503" s="160">
        <f>($J493-SUM($L493:L493))*L483</f>
        <v>0</v>
      </c>
      <c r="M503" s="90">
        <f>($J493-SUM($L493:M493))*M483</f>
        <v>0</v>
      </c>
      <c r="N503" s="90">
        <f>($J493-SUM($L493:N493))*N483</f>
        <v>837.65071359314447</v>
      </c>
      <c r="O503" s="90">
        <f>($J493-SUM($L493:O493))*O483</f>
        <v>418.82535679657224</v>
      </c>
      <c r="P503" s="90">
        <f>($J493-SUM($L493:P493))*P483</f>
        <v>0</v>
      </c>
      <c r="Q503" s="369">
        <f>($J493-SUM($L493:Q493))*Q483</f>
        <v>0</v>
      </c>
    </row>
    <row r="504" spans="2:17">
      <c r="B504" s="111"/>
      <c r="C504" s="3"/>
      <c r="D504" s="3"/>
      <c r="E504" s="3"/>
      <c r="F504" s="58"/>
      <c r="G504" s="58"/>
      <c r="H504" s="58"/>
      <c r="I504" s="355" t="str">
        <v>2028F</v>
      </c>
      <c r="J504" s="393">
        <f t="shared" si="251"/>
        <v>1386.1622232283855</v>
      </c>
      <c r="K504" s="368">
        <f t="shared" si="252"/>
        <v>462.05407440946186</v>
      </c>
      <c r="L504" s="160">
        <f>($J494-SUM($L494:L494))*L484</f>
        <v>0</v>
      </c>
      <c r="M504" s="90">
        <f>($J494-SUM($L494:M494))*M484</f>
        <v>0</v>
      </c>
      <c r="N504" s="90">
        <f>($J494-SUM($L494:N494))*N484</f>
        <v>0</v>
      </c>
      <c r="O504" s="90">
        <f>($J494-SUM($L494:O494))*O484</f>
        <v>924.10814881892361</v>
      </c>
      <c r="P504" s="90">
        <f>($J494-SUM($L494:P494))*P484</f>
        <v>462.0540744094618</v>
      </c>
      <c r="Q504" s="369">
        <f>($J494-SUM($L494:Q494))*Q484</f>
        <v>0</v>
      </c>
    </row>
    <row r="505" spans="2:17">
      <c r="B505" s="111"/>
      <c r="C505" s="3"/>
      <c r="D505" s="3"/>
      <c r="E505" s="3"/>
      <c r="F505" s="58"/>
      <c r="G505" s="58"/>
      <c r="H505" s="58"/>
      <c r="I505" s="355" t="str">
        <v>2029F</v>
      </c>
      <c r="J505" s="393">
        <f t="shared" si="251"/>
        <v>1532.1518055236681</v>
      </c>
      <c r="K505" s="368">
        <f t="shared" si="252"/>
        <v>510.7172685078894</v>
      </c>
      <c r="L505" s="160">
        <f>($J495-SUM($L495:L495))*L485</f>
        <v>0</v>
      </c>
      <c r="M505" s="90">
        <f>($J495-SUM($L495:M495))*M485</f>
        <v>0</v>
      </c>
      <c r="N505" s="90">
        <f>($J495-SUM($L495:N495))*N485</f>
        <v>0</v>
      </c>
      <c r="O505" s="90">
        <f>($J495-SUM($L495:O495))*O485</f>
        <v>0</v>
      </c>
      <c r="P505" s="90">
        <f>($J495-SUM($L495:P495))*P485</f>
        <v>1021.4345370157787</v>
      </c>
      <c r="Q505" s="369">
        <f>($J495-SUM($L495:Q495))*Q485</f>
        <v>510.71726850788934</v>
      </c>
    </row>
    <row r="506" spans="2:17">
      <c r="B506" s="111"/>
      <c r="C506" s="3"/>
      <c r="D506" s="3"/>
      <c r="E506" s="3"/>
      <c r="F506" s="58"/>
      <c r="G506" s="58"/>
      <c r="H506" s="58"/>
      <c r="I506" s="358" t="str">
        <v>2030F</v>
      </c>
      <c r="J506" s="394">
        <f t="shared" si="251"/>
        <v>1591.4952519036678</v>
      </c>
      <c r="K506" s="370">
        <f t="shared" si="252"/>
        <v>530.49841730122262</v>
      </c>
      <c r="L506" s="371">
        <f>($J496-SUM($L496:L496))*L486</f>
        <v>0</v>
      </c>
      <c r="M506" s="372">
        <f>($J496-SUM($L496:M496))*M486</f>
        <v>0</v>
      </c>
      <c r="N506" s="372">
        <f>($J496-SUM($L496:N496))*N486</f>
        <v>0</v>
      </c>
      <c r="O506" s="372">
        <f>($J496-SUM($L496:O496))*O486</f>
        <v>0</v>
      </c>
      <c r="P506" s="372">
        <f>($J496-SUM($L496:P496))*P486</f>
        <v>0</v>
      </c>
      <c r="Q506" s="373">
        <f>($J496-SUM($L496:Q496))*Q486</f>
        <v>1060.9968346024452</v>
      </c>
    </row>
    <row r="507" spans="2:17">
      <c r="B507" s="111"/>
      <c r="C507" s="3"/>
      <c r="D507" s="3"/>
      <c r="E507" s="3"/>
      <c r="F507" s="58"/>
      <c r="G507" s="58"/>
      <c r="H507" s="58"/>
      <c r="I507" s="159"/>
      <c r="J507" s="196"/>
      <c r="K507" s="168"/>
      <c r="L507" s="167"/>
      <c r="M507" s="167"/>
      <c r="N507" s="167"/>
      <c r="O507" s="167"/>
      <c r="P507" s="167"/>
      <c r="Q507" s="167"/>
    </row>
    <row r="508" spans="2:17">
      <c r="B508" s="124"/>
      <c r="C508" s="120"/>
      <c r="D508" s="120"/>
      <c r="E508" s="120"/>
      <c r="F508" s="70"/>
      <c r="G508" s="70"/>
      <c r="H508" s="70"/>
      <c r="I508" s="466"/>
      <c r="J508" s="467"/>
      <c r="K508" s="468"/>
      <c r="L508" s="170"/>
      <c r="M508" s="170"/>
      <c r="N508" s="170"/>
      <c r="O508" s="170"/>
      <c r="P508" s="170"/>
      <c r="Q508" s="170"/>
    </row>
    <row r="509" spans="2:17">
      <c r="B509" s="111"/>
      <c r="C509" s="3"/>
      <c r="D509" s="3"/>
      <c r="E509" s="3"/>
      <c r="F509" s="58"/>
      <c r="G509" s="58"/>
      <c r="H509" s="58"/>
      <c r="I509" s="159"/>
      <c r="J509" s="196"/>
      <c r="K509" s="168"/>
      <c r="L509" s="167"/>
      <c r="M509" s="167"/>
      <c r="N509" s="167"/>
      <c r="O509" s="167"/>
      <c r="P509" s="167"/>
      <c r="Q509" s="167"/>
    </row>
    <row r="510" spans="2:17">
      <c r="B510" s="3" t="s">
        <v>379</v>
      </c>
      <c r="C510" s="3"/>
      <c r="D510" s="3"/>
      <c r="E510" s="3"/>
      <c r="F510" s="58"/>
      <c r="G510" s="58"/>
      <c r="H510" s="58"/>
      <c r="I510" s="159"/>
      <c r="J510" s="196"/>
      <c r="K510" s="168"/>
      <c r="L510" s="167"/>
      <c r="M510" s="167"/>
      <c r="N510" s="167"/>
      <c r="O510" s="167"/>
      <c r="P510" s="167"/>
      <c r="Q510" s="167"/>
    </row>
    <row r="511" spans="2:17">
      <c r="B511" s="110" t="s">
        <v>199</v>
      </c>
      <c r="L511" s="90">
        <f>K513</f>
        <v>82.6</v>
      </c>
      <c r="M511" s="90">
        <f t="shared" ref="M511:Q511" si="253">L513</f>
        <v>492.29865684491983</v>
      </c>
      <c r="N511" s="90">
        <f t="shared" si="253"/>
        <v>872.88025857754008</v>
      </c>
      <c r="O511" s="90">
        <f t="shared" si="253"/>
        <v>1133.1056153741122</v>
      </c>
      <c r="P511" s="90">
        <f t="shared" si="253"/>
        <v>1261.4610329386544</v>
      </c>
      <c r="Q511" s="90">
        <f t="shared" si="253"/>
        <v>1391.5966997139235</v>
      </c>
    </row>
    <row r="512" spans="2:17">
      <c r="B512" s="110" t="s">
        <v>200</v>
      </c>
      <c r="L512" s="90">
        <f>L513-L511</f>
        <v>409.69865684491981</v>
      </c>
      <c r="M512" s="90">
        <f t="shared" ref="M512:Q512" si="254">M513-M511</f>
        <v>380.58160173262024</v>
      </c>
      <c r="N512" s="90">
        <f t="shared" si="254"/>
        <v>260.2253567965721</v>
      </c>
      <c r="O512" s="90">
        <f t="shared" si="254"/>
        <v>128.35541756454222</v>
      </c>
      <c r="P512" s="90">
        <f t="shared" si="254"/>
        <v>130.1356667752691</v>
      </c>
      <c r="Q512" s="90">
        <f t="shared" si="254"/>
        <v>111.67306050465049</v>
      </c>
    </row>
    <row r="513" spans="1:17">
      <c r="B513" s="111" t="s">
        <v>198</v>
      </c>
      <c r="C513" s="3"/>
      <c r="D513" s="3"/>
      <c r="E513" s="3"/>
      <c r="F513" s="58"/>
      <c r="G513" s="58"/>
      <c r="H513" s="58"/>
      <c r="I513" s="58"/>
      <c r="J513" s="58"/>
      <c r="K513" s="86">
        <f>E452</f>
        <v>82.6</v>
      </c>
      <c r="L513" s="93">
        <f t="shared" ref="L513:Q513" si="255">SUM(L491:L496,L465)</f>
        <v>492.29865684491983</v>
      </c>
      <c r="M513" s="93">
        <f t="shared" si="255"/>
        <v>872.88025857754008</v>
      </c>
      <c r="N513" s="93">
        <f t="shared" si="255"/>
        <v>1133.1056153741122</v>
      </c>
      <c r="O513" s="93">
        <f t="shared" si="255"/>
        <v>1261.4610329386544</v>
      </c>
      <c r="P513" s="93">
        <f t="shared" si="255"/>
        <v>1391.5966997139235</v>
      </c>
      <c r="Q513" s="93">
        <f t="shared" si="255"/>
        <v>1503.269760218574</v>
      </c>
    </row>
    <row r="514" spans="1:17">
      <c r="B514" s="111"/>
      <c r="C514" s="3"/>
      <c r="D514" s="3"/>
      <c r="E514" s="3"/>
      <c r="F514" s="58"/>
      <c r="G514" s="58"/>
      <c r="H514" s="58"/>
      <c r="I514" s="58"/>
      <c r="J514" s="58"/>
      <c r="K514" s="58"/>
      <c r="L514" s="123"/>
      <c r="M514" s="123"/>
      <c r="N514" s="123"/>
      <c r="O514" s="123"/>
      <c r="P514" s="123"/>
      <c r="Q514" s="123"/>
    </row>
    <row r="515" spans="1:17">
      <c r="B515" s="110" t="s">
        <v>195</v>
      </c>
      <c r="L515" s="186">
        <f t="shared" ref="L515:Q515" si="256">$K$452</f>
        <v>5.0000000000000001E-3</v>
      </c>
      <c r="M515" s="186">
        <f t="shared" si="256"/>
        <v>5.0000000000000001E-3</v>
      </c>
      <c r="N515" s="186">
        <f t="shared" si="256"/>
        <v>5.0000000000000001E-3</v>
      </c>
      <c r="O515" s="186">
        <f t="shared" si="256"/>
        <v>5.0000000000000001E-3</v>
      </c>
      <c r="P515" s="186">
        <f t="shared" si="256"/>
        <v>5.0000000000000001E-3</v>
      </c>
      <c r="Q515" s="186">
        <f t="shared" si="256"/>
        <v>5.0000000000000001E-3</v>
      </c>
    </row>
    <row r="516" spans="1:17">
      <c r="B516" s="111" t="s">
        <v>427</v>
      </c>
      <c r="C516" s="3"/>
      <c r="D516" s="3"/>
      <c r="E516" s="3"/>
      <c r="F516" s="58"/>
      <c r="G516" s="58"/>
      <c r="H516" s="58"/>
      <c r="I516" s="58"/>
      <c r="J516" s="58"/>
      <c r="K516" s="58"/>
      <c r="L516" s="94">
        <f>AVERAGE(L513,L511)*L515</f>
        <v>1.4372466421122996</v>
      </c>
      <c r="M516" s="94">
        <f t="shared" ref="M516:Q516" si="257">AVERAGE(M513,M511)*M515</f>
        <v>3.4129472885561496</v>
      </c>
      <c r="N516" s="94">
        <f t="shared" si="257"/>
        <v>5.0149646848791303</v>
      </c>
      <c r="O516" s="94">
        <f t="shared" si="257"/>
        <v>5.9864166207819167</v>
      </c>
      <c r="P516" s="94">
        <f t="shared" si="257"/>
        <v>6.6326443316314458</v>
      </c>
      <c r="Q516" s="94">
        <f t="shared" si="257"/>
        <v>7.2371661498312436</v>
      </c>
    </row>
    <row r="517" spans="1:17">
      <c r="B517" s="111"/>
      <c r="C517" s="3"/>
      <c r="D517" s="3"/>
      <c r="E517" s="3"/>
      <c r="F517" s="58"/>
      <c r="G517" s="58"/>
      <c r="H517" s="58"/>
      <c r="I517" s="159"/>
      <c r="J517" s="196"/>
      <c r="K517" s="168"/>
      <c r="L517" s="167"/>
      <c r="M517" s="167"/>
      <c r="N517" s="167"/>
      <c r="O517" s="167"/>
      <c r="P517" s="167"/>
      <c r="Q517" s="167"/>
    </row>
    <row r="518" spans="1:17">
      <c r="B518" s="3" t="s">
        <v>380</v>
      </c>
      <c r="C518" s="3"/>
      <c r="D518" s="3"/>
      <c r="E518" s="3"/>
      <c r="F518" s="58"/>
      <c r="G518" s="58"/>
      <c r="H518" s="58"/>
      <c r="I518" s="159"/>
      <c r="J518" s="196"/>
      <c r="K518" s="168"/>
      <c r="L518" s="167"/>
      <c r="M518" s="167"/>
      <c r="N518" s="167"/>
      <c r="O518" s="167"/>
      <c r="P518" s="167"/>
      <c r="Q518" s="167"/>
    </row>
    <row r="519" spans="1:17">
      <c r="B519" s="110" t="s">
        <v>199</v>
      </c>
      <c r="L519" s="90">
        <f>K521</f>
        <v>317.2</v>
      </c>
      <c r="M519" s="90">
        <f t="shared" ref="M519:Q519" si="258">L521</f>
        <v>825.99731368983964</v>
      </c>
      <c r="N519" s="90">
        <f t="shared" si="258"/>
        <v>1094.8618603101604</v>
      </c>
      <c r="O519" s="90">
        <f t="shared" si="258"/>
        <v>1218.2323153257648</v>
      </c>
      <c r="P519" s="90">
        <f t="shared" si="258"/>
        <v>1342.933505615496</v>
      </c>
      <c r="Q519" s="90">
        <f t="shared" si="258"/>
        <v>1483.4886114252404</v>
      </c>
    </row>
    <row r="520" spans="1:17">
      <c r="B520" s="110" t="s">
        <v>200</v>
      </c>
      <c r="L520" s="90">
        <f>L521-L519</f>
        <v>508.79731368983965</v>
      </c>
      <c r="M520" s="90">
        <f t="shared" ref="M520:Q520" si="259">M521-M519</f>
        <v>268.86454662032077</v>
      </c>
      <c r="N520" s="90">
        <f t="shared" si="259"/>
        <v>123.37045501560442</v>
      </c>
      <c r="O520" s="90">
        <f t="shared" si="259"/>
        <v>124.70119028973113</v>
      </c>
      <c r="P520" s="90">
        <f t="shared" si="259"/>
        <v>140.55510580974442</v>
      </c>
      <c r="Q520" s="90">
        <f t="shared" si="259"/>
        <v>88.225491685094312</v>
      </c>
    </row>
    <row r="521" spans="1:17">
      <c r="B521" s="111" t="s">
        <v>198</v>
      </c>
      <c r="C521" s="3"/>
      <c r="D521" s="3"/>
      <c r="E521" s="3"/>
      <c r="F521" s="58"/>
      <c r="G521" s="58"/>
      <c r="H521" s="58"/>
      <c r="I521" s="58"/>
      <c r="J521" s="58"/>
      <c r="K521" s="86">
        <f>E453</f>
        <v>317.2</v>
      </c>
      <c r="L521" s="93">
        <f t="shared" ref="L521:Q521" si="260">SUM(L501:L506,L470)</f>
        <v>825.99731368983964</v>
      </c>
      <c r="M521" s="93">
        <f t="shared" si="260"/>
        <v>1094.8618603101604</v>
      </c>
      <c r="N521" s="93">
        <f t="shared" si="260"/>
        <v>1218.2323153257648</v>
      </c>
      <c r="O521" s="93">
        <f t="shared" si="260"/>
        <v>1342.933505615496</v>
      </c>
      <c r="P521" s="93">
        <f t="shared" si="260"/>
        <v>1483.4886114252404</v>
      </c>
      <c r="Q521" s="93">
        <f t="shared" si="260"/>
        <v>1571.7141031103347</v>
      </c>
    </row>
    <row r="522" spans="1:17">
      <c r="B522" s="111"/>
      <c r="C522" s="3"/>
      <c r="D522" s="3"/>
      <c r="E522" s="3"/>
      <c r="F522" s="58"/>
      <c r="G522" s="58"/>
      <c r="H522" s="58"/>
      <c r="I522" s="58"/>
      <c r="J522" s="58"/>
      <c r="K522" s="58"/>
      <c r="L522" s="123"/>
      <c r="M522" s="123"/>
      <c r="N522" s="123"/>
      <c r="O522" s="123"/>
      <c r="P522" s="123"/>
      <c r="Q522" s="123"/>
    </row>
    <row r="523" spans="1:17">
      <c r="B523" s="110" t="s">
        <v>195</v>
      </c>
      <c r="L523" s="277">
        <f t="shared" ref="L523:Q523" si="261">$K$452</f>
        <v>5.0000000000000001E-3</v>
      </c>
      <c r="M523" s="122">
        <f t="shared" si="261"/>
        <v>5.0000000000000001E-3</v>
      </c>
      <c r="N523" s="122">
        <f t="shared" si="261"/>
        <v>5.0000000000000001E-3</v>
      </c>
      <c r="O523" s="122">
        <f t="shared" si="261"/>
        <v>5.0000000000000001E-3</v>
      </c>
      <c r="P523" s="122">
        <f t="shared" si="261"/>
        <v>5.0000000000000001E-3</v>
      </c>
      <c r="Q523" s="122">
        <f t="shared" si="261"/>
        <v>5.0000000000000001E-3</v>
      </c>
    </row>
    <row r="524" spans="1:17">
      <c r="B524" s="111" t="s">
        <v>428</v>
      </c>
      <c r="C524" s="3"/>
      <c r="D524" s="3"/>
      <c r="E524" s="3"/>
      <c r="F524" s="58"/>
      <c r="G524" s="58"/>
      <c r="H524" s="58"/>
      <c r="I524" s="58"/>
      <c r="J524" s="58"/>
      <c r="K524" s="58"/>
      <c r="L524" s="94">
        <f>AVERAGE(L521,L519)*L523</f>
        <v>2.857993284224599</v>
      </c>
      <c r="M524" s="94">
        <f t="shared" ref="M524:Q524" si="262">AVERAGE(M521,M519)*M523</f>
        <v>4.8021479350000007</v>
      </c>
      <c r="N524" s="94">
        <f t="shared" si="262"/>
        <v>5.7827354390898131</v>
      </c>
      <c r="O524" s="94">
        <f t="shared" si="262"/>
        <v>6.4029145523531525</v>
      </c>
      <c r="P524" s="94">
        <f t="shared" si="262"/>
        <v>7.066055292601841</v>
      </c>
      <c r="Q524" s="94">
        <f t="shared" si="262"/>
        <v>7.6380067863389378</v>
      </c>
    </row>
    <row r="525" spans="1:17">
      <c r="B525" s="111"/>
      <c r="L525" s="123"/>
      <c r="M525" s="123"/>
      <c r="N525" s="123"/>
      <c r="O525" s="123"/>
      <c r="P525" s="123"/>
      <c r="Q525" s="123"/>
    </row>
    <row r="527" spans="1:17" ht="24">
      <c r="A527" s="1" t="s">
        <v>160</v>
      </c>
      <c r="B527" s="139" t="s">
        <v>260</v>
      </c>
      <c r="C527" s="140"/>
      <c r="D527" s="140"/>
      <c r="E527" s="140"/>
      <c r="F527" s="140"/>
      <c r="G527" s="140"/>
      <c r="H527" s="140"/>
      <c r="I527" s="140"/>
      <c r="J527" s="140"/>
      <c r="K527" s="140"/>
      <c r="L527" s="140"/>
      <c r="M527" s="140"/>
      <c r="N527" s="140"/>
      <c r="O527" s="140"/>
      <c r="P527" s="140"/>
      <c r="Q527" s="140"/>
    </row>
    <row r="528" spans="1:17">
      <c r="B528" s="126"/>
      <c r="C528" s="127"/>
      <c r="D528" s="127"/>
      <c r="E528" s="127"/>
      <c r="F528" s="127"/>
      <c r="G528" s="127"/>
      <c r="H528" s="127"/>
      <c r="I528" s="127"/>
      <c r="J528" s="127"/>
      <c r="K528" s="127"/>
      <c r="L528" s="127"/>
      <c r="M528" s="127"/>
      <c r="N528" s="127"/>
      <c r="O528" s="127"/>
      <c r="P528" s="127"/>
      <c r="Q528" s="127"/>
    </row>
    <row r="529" spans="2:17">
      <c r="B529" s="116" t="s">
        <v>130</v>
      </c>
      <c r="C529" s="71"/>
      <c r="D529" s="71"/>
      <c r="E529" s="71"/>
      <c r="F529" s="80"/>
      <c r="G529" s="80"/>
      <c r="H529" s="80"/>
      <c r="I529" s="80"/>
      <c r="J529" s="80"/>
      <c r="K529" s="80"/>
      <c r="L529" s="80"/>
      <c r="M529" s="80"/>
      <c r="N529" s="80"/>
      <c r="O529" s="80"/>
      <c r="P529" s="80"/>
      <c r="Q529" s="80"/>
    </row>
    <row r="530" spans="2:17">
      <c r="B530" s="117" t="str">
        <f>CONCATENATE("Running ", CHOOSE(Assumptions!$B$7,Assumptions!$B$13,Assumptions!$B$14,Assumptions!$B$15)," Model")</f>
        <v>Running Base Case Model</v>
      </c>
      <c r="C530" s="80"/>
      <c r="D530" s="80"/>
      <c r="E530" s="80"/>
      <c r="F530" s="80"/>
      <c r="G530" s="80"/>
      <c r="H530" s="80"/>
      <c r="I530" s="80"/>
      <c r="J530" s="80"/>
      <c r="K530" s="80"/>
      <c r="L530" s="81" t="s">
        <v>86</v>
      </c>
      <c r="M530" s="81"/>
      <c r="N530" s="81"/>
      <c r="O530" s="81"/>
      <c r="P530" s="81"/>
      <c r="Q530" s="81"/>
    </row>
    <row r="531" spans="2:17">
      <c r="B531" s="113"/>
      <c r="C531" s="80"/>
      <c r="D531" s="80"/>
      <c r="E531" s="80"/>
      <c r="F531" s="83" t="s">
        <v>38</v>
      </c>
      <c r="G531" s="83" t="s">
        <v>10</v>
      </c>
      <c r="H531" s="83" t="s">
        <v>11</v>
      </c>
      <c r="I531" s="83" t="s">
        <v>12</v>
      </c>
      <c r="J531" s="83" t="s">
        <v>13</v>
      </c>
      <c r="K531" s="83" t="s">
        <v>14</v>
      </c>
      <c r="L531" s="83" t="s">
        <v>15</v>
      </c>
      <c r="M531" s="83" t="s">
        <v>78</v>
      </c>
      <c r="N531" s="83" t="s">
        <v>79</v>
      </c>
      <c r="O531" s="83" t="s">
        <v>80</v>
      </c>
      <c r="P531" s="83" t="s">
        <v>81</v>
      </c>
      <c r="Q531" s="44" t="s">
        <v>295</v>
      </c>
    </row>
    <row r="533" spans="2:17">
      <c r="B533" s="3" t="s">
        <v>384</v>
      </c>
    </row>
    <row r="534" spans="2:17">
      <c r="B534" s="110" t="s">
        <v>199</v>
      </c>
      <c r="L534" s="90">
        <f>K536</f>
        <v>16855.300000000003</v>
      </c>
      <c r="M534" s="90">
        <f t="shared" ref="M534:Q534" si="263">L536</f>
        <v>16055.300000000003</v>
      </c>
      <c r="N534" s="90">
        <f t="shared" si="263"/>
        <v>15255.300000000003</v>
      </c>
      <c r="O534" s="90">
        <f t="shared" si="263"/>
        <v>14455.300000000003</v>
      </c>
      <c r="P534" s="90">
        <f t="shared" si="263"/>
        <v>13655.300000000003</v>
      </c>
      <c r="Q534" s="90">
        <f t="shared" si="263"/>
        <v>12855.300000000003</v>
      </c>
    </row>
    <row r="535" spans="2:17">
      <c r="B535" s="110" t="s">
        <v>200</v>
      </c>
      <c r="L535" s="90">
        <f>Assumptions!H179</f>
        <v>-800</v>
      </c>
      <c r="M535" s="90">
        <f>Assumptions!I179</f>
        <v>-800</v>
      </c>
      <c r="N535" s="90">
        <f>Assumptions!J179</f>
        <v>-800</v>
      </c>
      <c r="O535" s="90">
        <f>Assumptions!K179</f>
        <v>-800</v>
      </c>
      <c r="P535" s="90">
        <f>Assumptions!L179</f>
        <v>-800</v>
      </c>
      <c r="Q535" s="90">
        <f>Assumptions!M179</f>
        <v>0</v>
      </c>
    </row>
    <row r="536" spans="2:17">
      <c r="B536" s="111" t="s">
        <v>198</v>
      </c>
      <c r="C536" s="3"/>
      <c r="D536" s="3"/>
      <c r="E536" s="3"/>
      <c r="F536" s="58"/>
      <c r="G536" s="58"/>
      <c r="H536" s="58"/>
      <c r="I536" s="58"/>
      <c r="J536" s="58"/>
      <c r="K536" s="68">
        <f>K114</f>
        <v>16855.300000000003</v>
      </c>
      <c r="L536" s="94">
        <f>SUM(L534:L535)</f>
        <v>16055.300000000003</v>
      </c>
      <c r="M536" s="94">
        <f t="shared" ref="M536:Q536" si="264">SUM(M534:M535)</f>
        <v>15255.300000000003</v>
      </c>
      <c r="N536" s="94">
        <f t="shared" si="264"/>
        <v>14455.300000000003</v>
      </c>
      <c r="O536" s="94">
        <f t="shared" si="264"/>
        <v>13655.300000000003</v>
      </c>
      <c r="P536" s="94">
        <f t="shared" si="264"/>
        <v>12855.300000000003</v>
      </c>
      <c r="Q536" s="94">
        <f t="shared" si="264"/>
        <v>12855.300000000003</v>
      </c>
    </row>
    <row r="538" spans="2:17">
      <c r="B538" s="110" t="s">
        <v>4</v>
      </c>
      <c r="L538" s="90">
        <f t="shared" ref="L538:Q538" ca="1" si="265">L28</f>
        <v>9840.4293974879165</v>
      </c>
      <c r="M538" s="90">
        <f t="shared" ca="1" si="265"/>
        <v>11910.119140891804</v>
      </c>
      <c r="N538" s="90">
        <f t="shared" ca="1" si="265"/>
        <v>13619.102048535924</v>
      </c>
      <c r="O538" s="90">
        <f t="shared" ca="1" si="265"/>
        <v>15625.863275368258</v>
      </c>
      <c r="P538" s="90">
        <f t="shared" ca="1" si="265"/>
        <v>17892.585577642392</v>
      </c>
      <c r="Q538" s="90">
        <f t="shared" ca="1" si="265"/>
        <v>19008.455949612446</v>
      </c>
    </row>
    <row r="539" spans="2:17">
      <c r="B539" s="110" t="s">
        <v>210</v>
      </c>
      <c r="F539" s="84"/>
      <c r="G539" s="84"/>
      <c r="H539" s="84"/>
      <c r="I539" s="84"/>
      <c r="J539" s="84"/>
      <c r="K539" s="84"/>
      <c r="L539" s="122">
        <f>Assumptions!H180</f>
        <v>0.28000000000000003</v>
      </c>
      <c r="M539" s="122">
        <f>Assumptions!I180</f>
        <v>0.28000000000000003</v>
      </c>
      <c r="N539" s="122">
        <f>Assumptions!J180</f>
        <v>0.28999999999999998</v>
      </c>
      <c r="O539" s="122">
        <f>Assumptions!K180</f>
        <v>0.28999999999999998</v>
      </c>
      <c r="P539" s="122">
        <f>Assumptions!L180</f>
        <v>0.3</v>
      </c>
      <c r="Q539" s="122">
        <f>Assumptions!M180</f>
        <v>0.3</v>
      </c>
    </row>
    <row r="540" spans="2:17" s="3" customFormat="1">
      <c r="B540" s="111" t="s">
        <v>211</v>
      </c>
      <c r="F540" s="58"/>
      <c r="G540" s="58"/>
      <c r="H540" s="58"/>
      <c r="I540" s="58"/>
      <c r="J540" s="58"/>
      <c r="K540" s="58"/>
      <c r="L540" s="93">
        <f ca="1">L538*L539</f>
        <v>2755.3202312966168</v>
      </c>
      <c r="M540" s="93">
        <f t="shared" ref="M540:Q540" ca="1" si="266">M538*M539</f>
        <v>3334.8333594497053</v>
      </c>
      <c r="N540" s="93">
        <f t="shared" ca="1" si="266"/>
        <v>3949.5395940754179</v>
      </c>
      <c r="O540" s="93">
        <f t="shared" ca="1" si="266"/>
        <v>4531.5003498567949</v>
      </c>
      <c r="P540" s="93">
        <f t="shared" ca="1" si="266"/>
        <v>5367.7756732927173</v>
      </c>
      <c r="Q540" s="93">
        <f t="shared" ca="1" si="266"/>
        <v>5702.5367848837332</v>
      </c>
    </row>
    <row r="542" spans="2:17">
      <c r="B542" s="119"/>
      <c r="C542" s="45"/>
      <c r="D542" s="45"/>
      <c r="E542" s="45"/>
      <c r="F542" s="62"/>
      <c r="G542" s="62"/>
      <c r="H542" s="62"/>
      <c r="I542" s="62"/>
      <c r="J542" s="62"/>
      <c r="K542" s="62"/>
      <c r="L542" s="62"/>
      <c r="M542" s="62"/>
      <c r="N542" s="62"/>
      <c r="O542" s="62"/>
      <c r="P542" s="62"/>
      <c r="Q542" s="62"/>
    </row>
    <row r="544" spans="2:17">
      <c r="B544" s="3" t="s">
        <v>385</v>
      </c>
    </row>
    <row r="545" spans="1:17">
      <c r="B545" s="110" t="s">
        <v>199</v>
      </c>
      <c r="L545" s="90">
        <f>K548</f>
        <v>5166.6000000000004</v>
      </c>
      <c r="M545" s="90">
        <f t="shared" ref="M545:Q545" ca="1" si="267">L548</f>
        <v>12251.7091661913</v>
      </c>
      <c r="N545" s="90">
        <f t="shared" ca="1" si="267"/>
        <v>20826.994947633397</v>
      </c>
      <c r="O545" s="90">
        <f t="shared" ca="1" si="267"/>
        <v>30496.557402093902</v>
      </c>
      <c r="P545" s="90">
        <f t="shared" ca="1" si="267"/>
        <v>41590.920327605359</v>
      </c>
      <c r="Q545" s="90">
        <f t="shared" ca="1" si="267"/>
        <v>54115.730231955036</v>
      </c>
    </row>
    <row r="546" spans="1:17">
      <c r="B546" s="110" t="s">
        <v>4</v>
      </c>
      <c r="L546" s="90">
        <f ca="1">L538</f>
        <v>9840.4293974879165</v>
      </c>
      <c r="M546" s="90">
        <f t="shared" ref="M546:Q546" ca="1" si="268">M538</f>
        <v>11910.119140891804</v>
      </c>
      <c r="N546" s="90">
        <f t="shared" ca="1" si="268"/>
        <v>13619.102048535924</v>
      </c>
      <c r="O546" s="90">
        <f t="shared" ca="1" si="268"/>
        <v>15625.863275368258</v>
      </c>
      <c r="P546" s="90">
        <f t="shared" ca="1" si="268"/>
        <v>17892.585577642392</v>
      </c>
      <c r="Q546" s="90">
        <f t="shared" ca="1" si="268"/>
        <v>19008.455949612446</v>
      </c>
    </row>
    <row r="547" spans="1:17">
      <c r="B547" s="110" t="s">
        <v>206</v>
      </c>
      <c r="L547" s="90">
        <f ca="1">-L540</f>
        <v>-2755.3202312966168</v>
      </c>
      <c r="M547" s="90">
        <f t="shared" ref="M547:Q547" ca="1" si="269">-M540</f>
        <v>-3334.8333594497053</v>
      </c>
      <c r="N547" s="90">
        <f t="shared" ca="1" si="269"/>
        <v>-3949.5395940754179</v>
      </c>
      <c r="O547" s="90">
        <f t="shared" ca="1" si="269"/>
        <v>-4531.5003498567949</v>
      </c>
      <c r="P547" s="90">
        <f t="shared" ca="1" si="269"/>
        <v>-5367.7756732927173</v>
      </c>
      <c r="Q547" s="90">
        <f t="shared" ca="1" si="269"/>
        <v>-5702.5367848837332</v>
      </c>
    </row>
    <row r="548" spans="1:17">
      <c r="B548" s="111" t="s">
        <v>198</v>
      </c>
      <c r="K548" s="68">
        <f>K115</f>
        <v>5166.6000000000004</v>
      </c>
      <c r="L548" s="94">
        <f ca="1">SUM(L545:L547)</f>
        <v>12251.7091661913</v>
      </c>
      <c r="M548" s="94">
        <f t="shared" ref="M548:Q548" ca="1" si="270">SUM(M545:M547)</f>
        <v>20826.994947633397</v>
      </c>
      <c r="N548" s="94">
        <f t="shared" ca="1" si="270"/>
        <v>30496.557402093902</v>
      </c>
      <c r="O548" s="94">
        <f t="shared" ca="1" si="270"/>
        <v>41590.920327605359</v>
      </c>
      <c r="P548" s="94">
        <f t="shared" ca="1" si="270"/>
        <v>54115.730231955036</v>
      </c>
      <c r="Q548" s="94">
        <f t="shared" ca="1" si="270"/>
        <v>67421.649396683744</v>
      </c>
    </row>
    <row r="551" spans="1:17" ht="24">
      <c r="A551" s="1" t="s">
        <v>160</v>
      </c>
      <c r="B551" s="139" t="s">
        <v>296</v>
      </c>
      <c r="C551" s="140"/>
      <c r="D551" s="140"/>
      <c r="E551" s="140"/>
      <c r="F551" s="140"/>
      <c r="G551" s="140"/>
      <c r="H551" s="140"/>
      <c r="I551" s="140"/>
      <c r="J551" s="140"/>
      <c r="K551" s="140"/>
      <c r="L551" s="140"/>
      <c r="M551" s="140"/>
      <c r="N551" s="140"/>
      <c r="O551" s="140"/>
      <c r="P551" s="140"/>
      <c r="Q551" s="140"/>
    </row>
    <row r="552" spans="1:17">
      <c r="B552" s="126"/>
      <c r="C552" s="127"/>
      <c r="D552" s="127"/>
      <c r="E552" s="127"/>
      <c r="F552" s="127"/>
      <c r="G552" s="127"/>
      <c r="H552" s="127"/>
      <c r="I552" s="127"/>
      <c r="J552" s="127"/>
      <c r="K552" s="127"/>
      <c r="L552" s="127"/>
      <c r="M552" s="127"/>
      <c r="N552" s="127"/>
      <c r="O552" s="127"/>
      <c r="P552" s="127"/>
      <c r="Q552" s="127"/>
    </row>
    <row r="553" spans="1:17">
      <c r="B553" s="116" t="s">
        <v>130</v>
      </c>
      <c r="C553" s="71"/>
      <c r="D553" s="71"/>
      <c r="E553" s="71"/>
      <c r="F553" s="80"/>
      <c r="G553" s="80"/>
      <c r="H553" s="80"/>
      <c r="I553" s="80"/>
      <c r="J553" s="80"/>
      <c r="K553" s="80"/>
      <c r="L553" s="80"/>
      <c r="M553" s="80"/>
      <c r="N553" s="80"/>
      <c r="O553" s="80"/>
      <c r="P553" s="80"/>
      <c r="Q553" s="80"/>
    </row>
    <row r="554" spans="1:17">
      <c r="B554" s="117" t="str">
        <f>CONCATENATE("Running ", CHOOSE(Assumptions!$B$7,Assumptions!$B$13,Assumptions!$B$14,Assumptions!$B$15)," Model")</f>
        <v>Running Base Case Model</v>
      </c>
      <c r="C554" s="80"/>
      <c r="D554" s="80"/>
      <c r="E554" s="80"/>
      <c r="F554" s="80"/>
      <c r="G554" s="80"/>
      <c r="H554" s="80"/>
      <c r="I554" s="80"/>
      <c r="J554" s="80"/>
      <c r="K554" s="80"/>
      <c r="L554" s="81" t="s">
        <v>86</v>
      </c>
      <c r="M554" s="81"/>
      <c r="N554" s="81"/>
      <c r="O554" s="81"/>
      <c r="P554" s="81"/>
      <c r="Q554" s="81"/>
    </row>
    <row r="555" spans="1:17">
      <c r="B555" s="113"/>
      <c r="C555" s="80"/>
      <c r="D555" s="80"/>
      <c r="E555" s="80"/>
      <c r="F555" s="83" t="s">
        <v>38</v>
      </c>
      <c r="G555" s="83" t="s">
        <v>10</v>
      </c>
      <c r="H555" s="83" t="s">
        <v>11</v>
      </c>
      <c r="I555" s="83" t="s">
        <v>12</v>
      </c>
      <c r="J555" s="83" t="s">
        <v>13</v>
      </c>
      <c r="K555" s="83" t="s">
        <v>14</v>
      </c>
      <c r="L555" s="83" t="s">
        <v>15</v>
      </c>
      <c r="M555" s="83" t="s">
        <v>78</v>
      </c>
      <c r="N555" s="83" t="s">
        <v>79</v>
      </c>
      <c r="O555" s="83" t="s">
        <v>80</v>
      </c>
      <c r="P555" s="83" t="s">
        <v>81</v>
      </c>
      <c r="Q555" s="44" t="s">
        <v>295</v>
      </c>
    </row>
    <row r="557" spans="1:17" ht="19">
      <c r="B557" s="3" t="s">
        <v>432</v>
      </c>
    </row>
    <row r="558" spans="1:17">
      <c r="B558" s="110" t="s">
        <v>4</v>
      </c>
      <c r="F558" s="167"/>
      <c r="G558" s="167"/>
      <c r="H558" s="167"/>
      <c r="I558" s="167"/>
      <c r="J558" s="167"/>
      <c r="K558" s="167"/>
      <c r="L558" s="90">
        <f t="shared" ref="L558:Q558" ca="1" si="271">L28</f>
        <v>9840.4293974879165</v>
      </c>
      <c r="M558" s="90">
        <f t="shared" ca="1" si="271"/>
        <v>11910.119140891804</v>
      </c>
      <c r="N558" s="90">
        <f t="shared" ca="1" si="271"/>
        <v>13619.102048535924</v>
      </c>
      <c r="O558" s="90">
        <f t="shared" ca="1" si="271"/>
        <v>15625.863275368258</v>
      </c>
      <c r="P558" s="90">
        <f t="shared" ca="1" si="271"/>
        <v>17892.585577642392</v>
      </c>
      <c r="Q558" s="90">
        <f t="shared" ca="1" si="271"/>
        <v>19008.455949612446</v>
      </c>
    </row>
    <row r="559" spans="1:17">
      <c r="B559" s="110" t="str">
        <f>"+ D&amp;A"</f>
        <v>+ D&amp;A</v>
      </c>
      <c r="F559" s="167"/>
      <c r="G559" s="167"/>
      <c r="H559" s="167"/>
      <c r="I559" s="167"/>
      <c r="J559" s="167"/>
      <c r="K559" s="167"/>
      <c r="L559" s="90">
        <f t="shared" ref="L559:Q560" si="272">L43</f>
        <v>2057.2033455057299</v>
      </c>
      <c r="M559" s="90">
        <f t="shared" si="272"/>
        <v>2424.8813866319329</v>
      </c>
      <c r="N559" s="90">
        <f t="shared" si="272"/>
        <v>2648.1766007098759</v>
      </c>
      <c r="O559" s="90">
        <f t="shared" si="272"/>
        <v>2847.9063416350805</v>
      </c>
      <c r="P559" s="90">
        <f t="shared" si="272"/>
        <v>3026.0649758890249</v>
      </c>
      <c r="Q559" s="90">
        <f t="shared" si="272"/>
        <v>2748.7892636745751</v>
      </c>
    </row>
    <row r="560" spans="1:17">
      <c r="B560" s="110" t="str">
        <f>"+ Deferred Taxes"</f>
        <v>+ Deferred Taxes</v>
      </c>
      <c r="F560" s="167"/>
      <c r="G560" s="167"/>
      <c r="H560" s="167"/>
      <c r="I560" s="167"/>
      <c r="J560" s="167"/>
      <c r="K560" s="167"/>
      <c r="L560" s="90">
        <f t="shared" ca="1" si="272"/>
        <v>-84.431837358187749</v>
      </c>
      <c r="M560" s="90">
        <f t="shared" ca="1" si="272"/>
        <v>-104.28436773523799</v>
      </c>
      <c r="N560" s="90">
        <f t="shared" ca="1" si="272"/>
        <v>-98.537957910250952</v>
      </c>
      <c r="O560" s="90">
        <f t="shared" ca="1" si="272"/>
        <v>-95.203625337691392</v>
      </c>
      <c r="P560" s="90">
        <f t="shared" ca="1" si="272"/>
        <v>-94.591475845339119</v>
      </c>
      <c r="Q560" s="90">
        <f t="shared" ca="1" si="272"/>
        <v>-17.576036597491111</v>
      </c>
    </row>
    <row r="561" spans="2:17">
      <c r="B561" s="110" t="str">
        <f>"+ Non-Cash Items"</f>
        <v>+ Non-Cash Items</v>
      </c>
      <c r="F561" s="167"/>
      <c r="G561" s="167"/>
      <c r="H561" s="167"/>
      <c r="I561" s="167"/>
      <c r="J561" s="167"/>
      <c r="K561" s="167"/>
      <c r="L561" s="90">
        <f t="shared" ref="L561:Q561" si="273">SUM(L47,L48,L46)</f>
        <v>1227.8234401604329</v>
      </c>
      <c r="M561" s="90">
        <f t="shared" si="273"/>
        <v>2163.5305449090883</v>
      </c>
      <c r="N561" s="90">
        <f t="shared" si="273"/>
        <v>1492.2041352283609</v>
      </c>
      <c r="O561" s="90">
        <f t="shared" si="273"/>
        <v>2297.4377313062168</v>
      </c>
      <c r="P561" s="90">
        <f t="shared" si="273"/>
        <v>2600.4376792222183</v>
      </c>
      <c r="Q561" s="90">
        <f t="shared" si="273"/>
        <v>-1154.804442587978</v>
      </c>
    </row>
    <row r="562" spans="2:17">
      <c r="B562" s="110" t="s">
        <v>297</v>
      </c>
      <c r="F562" s="167"/>
      <c r="G562" s="167"/>
      <c r="H562" s="167"/>
      <c r="I562" s="167"/>
      <c r="J562" s="167"/>
      <c r="K562" s="167"/>
      <c r="L562" s="90">
        <f t="shared" ref="L562:Q562" si="274">L45</f>
        <v>-2947.5971621941226</v>
      </c>
      <c r="M562" s="90">
        <f t="shared" si="274"/>
        <v>-239.82828329763652</v>
      </c>
      <c r="N562" s="90">
        <f t="shared" si="274"/>
        <v>107.83408473596137</v>
      </c>
      <c r="O562" s="90">
        <f t="shared" si="274"/>
        <v>-184.78496959772929</v>
      </c>
      <c r="P562" s="90">
        <f t="shared" si="274"/>
        <v>-762.33190880322763</v>
      </c>
      <c r="Q562" s="90">
        <f t="shared" si="274"/>
        <v>-179.90718708800341</v>
      </c>
    </row>
    <row r="563" spans="2:17">
      <c r="B563" s="110" t="str">
        <f>"- CapEx"</f>
        <v>- CapEx</v>
      </c>
      <c r="F563" s="167"/>
      <c r="G563" s="167"/>
      <c r="H563" s="167"/>
      <c r="I563" s="167"/>
      <c r="J563" s="167"/>
      <c r="K563" s="167"/>
      <c r="L563" s="90">
        <f t="shared" ref="L563:Q563" si="275">SUM(L52:L53)</f>
        <v>-3670.685225294118</v>
      </c>
      <c r="M563" s="90">
        <f t="shared" si="275"/>
        <v>-3805.816017326204</v>
      </c>
      <c r="N563" s="90">
        <f t="shared" si="275"/>
        <v>-3769.42821116915</v>
      </c>
      <c r="O563" s="90">
        <f t="shared" si="275"/>
        <v>-3696.4325952756944</v>
      </c>
      <c r="P563" s="90">
        <f t="shared" si="275"/>
        <v>-3575.0208795552262</v>
      </c>
      <c r="Q563" s="90">
        <f t="shared" si="275"/>
        <v>-3448.239712457947</v>
      </c>
    </row>
    <row r="564" spans="2:17">
      <c r="B564" s="110" t="str">
        <f>"+Interest Expense"</f>
        <v>+Interest Expense</v>
      </c>
      <c r="F564" s="167"/>
      <c r="G564" s="167"/>
      <c r="H564" s="167"/>
      <c r="I564" s="167"/>
      <c r="J564" s="167"/>
      <c r="K564" s="167"/>
      <c r="L564" s="90">
        <f t="shared" ref="L564:Q564" ca="1" si="276">-L20</f>
        <v>-11.232648561392153</v>
      </c>
      <c r="M564" s="90">
        <f t="shared" ca="1" si="276"/>
        <v>-87.632957716786734</v>
      </c>
      <c r="N564" s="90">
        <f t="shared" ca="1" si="276"/>
        <v>-179.4534633705963</v>
      </c>
      <c r="O564" s="90">
        <f t="shared" ca="1" si="276"/>
        <v>-286.53057899124713</v>
      </c>
      <c r="P564" s="90">
        <f t="shared" ca="1" si="276"/>
        <v>-411.67321795983918</v>
      </c>
      <c r="Q564" s="90">
        <f t="shared" ca="1" si="276"/>
        <v>-534.67743799642108</v>
      </c>
    </row>
    <row r="565" spans="2:17" s="3" customFormat="1">
      <c r="B565" s="111" t="s">
        <v>298</v>
      </c>
      <c r="F565" s="123"/>
      <c r="G565" s="123"/>
      <c r="H565" s="123"/>
      <c r="I565" s="123"/>
      <c r="J565" s="123"/>
      <c r="K565" s="123"/>
      <c r="L565" s="94">
        <f t="shared" ref="L565:Q565" ca="1" si="277">SUM(L558:L564)</f>
        <v>6411.5093097462586</v>
      </c>
      <c r="M565" s="94">
        <f t="shared" ca="1" si="277"/>
        <v>12260.969446356959</v>
      </c>
      <c r="N565" s="94">
        <f t="shared" ca="1" si="277"/>
        <v>13819.897236760122</v>
      </c>
      <c r="O565" s="94">
        <f t="shared" ca="1" si="277"/>
        <v>16508.255579107197</v>
      </c>
      <c r="P565" s="94">
        <f t="shared" ca="1" si="277"/>
        <v>18675.470750590001</v>
      </c>
      <c r="Q565" s="94">
        <f t="shared" ca="1" si="277"/>
        <v>16422.040396559179</v>
      </c>
    </row>
    <row r="567" spans="2:17">
      <c r="B567" s="3" t="s">
        <v>386</v>
      </c>
    </row>
    <row r="568" spans="2:17">
      <c r="B568" s="110" t="s">
        <v>1</v>
      </c>
      <c r="L568" s="90">
        <f t="shared" ref="L568:Q568" si="278">L18</f>
        <v>14105.320448767765</v>
      </c>
      <c r="M568" s="90">
        <f t="shared" si="278"/>
        <v>16932.982670204121</v>
      </c>
      <c r="N568" s="90">
        <f t="shared" si="278"/>
        <v>19158.799177211738</v>
      </c>
      <c r="O568" s="90">
        <f t="shared" si="278"/>
        <v>21710.718011869641</v>
      </c>
      <c r="P568" s="90">
        <f t="shared" si="278"/>
        <v>24541.579965824272</v>
      </c>
      <c r="Q568" s="90">
        <f t="shared" si="278"/>
        <v>25508.788234516935</v>
      </c>
    </row>
    <row r="569" spans="2:17">
      <c r="B569" s="110" t="str">
        <f>"- Current Taxes"</f>
        <v>- Current Taxes</v>
      </c>
      <c r="L569" s="90">
        <f t="shared" ref="L569:Q569" ca="1" si="279">L23</f>
        <v>-2303.3521916936984</v>
      </c>
      <c r="M569" s="90">
        <f t="shared" ca="1" si="279"/>
        <v>-2789.8994681324093</v>
      </c>
      <c r="N569" s="90">
        <f t="shared" ca="1" si="279"/>
        <v>-3169.5119492467829</v>
      </c>
      <c r="O569" s="90">
        <f t="shared" ca="1" si="279"/>
        <v>-3618.6825991952396</v>
      </c>
      <c r="P569" s="90">
        <f t="shared" ca="1" si="279"/>
        <v>-4129.1941060980353</v>
      </c>
      <c r="Q569" s="90">
        <f t="shared" ca="1" si="279"/>
        <v>-4303.7964958238272</v>
      </c>
    </row>
    <row r="570" spans="2:17">
      <c r="B570" s="110" t="str">
        <f>"- CapEx"</f>
        <v>- CapEx</v>
      </c>
      <c r="L570" s="90">
        <f t="shared" ref="L570:Q570" si="280">SUM(L52:L53)</f>
        <v>-3670.685225294118</v>
      </c>
      <c r="M570" s="90">
        <f t="shared" si="280"/>
        <v>-3805.816017326204</v>
      </c>
      <c r="N570" s="90">
        <f t="shared" si="280"/>
        <v>-3769.42821116915</v>
      </c>
      <c r="O570" s="90">
        <f t="shared" si="280"/>
        <v>-3696.4325952756944</v>
      </c>
      <c r="P570" s="90">
        <f t="shared" si="280"/>
        <v>-3575.0208795552262</v>
      </c>
      <c r="Q570" s="90">
        <f t="shared" si="280"/>
        <v>-3448.239712457947</v>
      </c>
    </row>
    <row r="571" spans="2:17">
      <c r="B571" s="110" t="s">
        <v>297</v>
      </c>
      <c r="L571" s="90">
        <f t="shared" ref="L571:Q571" si="281">L45</f>
        <v>-2947.5971621941226</v>
      </c>
      <c r="M571" s="90">
        <f t="shared" si="281"/>
        <v>-239.82828329763652</v>
      </c>
      <c r="N571" s="90">
        <f t="shared" si="281"/>
        <v>107.83408473596137</v>
      </c>
      <c r="O571" s="90">
        <f t="shared" si="281"/>
        <v>-184.78496959772929</v>
      </c>
      <c r="P571" s="90">
        <f t="shared" si="281"/>
        <v>-762.33190880322763</v>
      </c>
      <c r="Q571" s="90">
        <f t="shared" si="281"/>
        <v>-179.90718708800341</v>
      </c>
    </row>
    <row r="572" spans="2:17">
      <c r="B572" s="110" t="str">
        <f>"+ Non-Cash Items"</f>
        <v>+ Non-Cash Items</v>
      </c>
      <c r="L572" s="90">
        <f t="shared" ref="L572:Q572" si="282">SUM(L46,L47,L48)</f>
        <v>1227.8234401604329</v>
      </c>
      <c r="M572" s="90">
        <f t="shared" si="282"/>
        <v>2163.5305449090883</v>
      </c>
      <c r="N572" s="90">
        <f t="shared" si="282"/>
        <v>1492.2041352283609</v>
      </c>
      <c r="O572" s="90">
        <f t="shared" si="282"/>
        <v>2297.4377313062168</v>
      </c>
      <c r="P572" s="90">
        <f t="shared" si="282"/>
        <v>2600.4376792222183</v>
      </c>
      <c r="Q572" s="90">
        <f t="shared" si="282"/>
        <v>-1154.804442587978</v>
      </c>
    </row>
    <row r="573" spans="2:17">
      <c r="B573" s="111" t="s">
        <v>298</v>
      </c>
      <c r="L573" s="94">
        <f ca="1">SUM(L568:L572)</f>
        <v>6411.5093097462586</v>
      </c>
      <c r="M573" s="94">
        <f t="shared" ref="M573:Q573" ca="1" si="283">SUM(M568:M572)</f>
        <v>12260.969446356959</v>
      </c>
      <c r="N573" s="94">
        <f t="shared" ca="1" si="283"/>
        <v>13819.897236760129</v>
      </c>
      <c r="O573" s="94">
        <f t="shared" ca="1" si="283"/>
        <v>16508.255579107194</v>
      </c>
      <c r="P573" s="94">
        <f t="shared" ca="1" si="283"/>
        <v>18675.470750590004</v>
      </c>
      <c r="Q573" s="94">
        <f t="shared" ca="1" si="283"/>
        <v>16422.040396559179</v>
      </c>
    </row>
    <row r="575" spans="2:17">
      <c r="Q575" s="398" t="s">
        <v>433</v>
      </c>
    </row>
    <row r="577" spans="1:17" ht="24">
      <c r="A577" s="1" t="s">
        <v>160</v>
      </c>
      <c r="B577" s="139" t="s">
        <v>301</v>
      </c>
      <c r="C577" s="140"/>
      <c r="D577" s="140"/>
      <c r="E577" s="140"/>
      <c r="F577" s="140"/>
      <c r="G577" s="140"/>
      <c r="H577" s="140"/>
      <c r="I577" s="140"/>
      <c r="J577" s="140"/>
      <c r="K577" s="140"/>
      <c r="L577" s="140"/>
      <c r="M577" s="140"/>
      <c r="N577" s="140"/>
      <c r="O577" s="140"/>
      <c r="P577" s="140"/>
      <c r="Q577" s="140"/>
    </row>
    <row r="578" spans="1:17">
      <c r="B578" s="126"/>
      <c r="C578" s="127"/>
      <c r="D578" s="127"/>
      <c r="E578" s="127"/>
      <c r="F578" s="127"/>
      <c r="G578" s="272"/>
      <c r="H578" s="127"/>
      <c r="I578" s="127"/>
      <c r="J578" s="127"/>
      <c r="K578" s="127"/>
      <c r="L578" s="127"/>
      <c r="M578" s="127"/>
      <c r="N578" s="127"/>
      <c r="O578" s="127"/>
      <c r="P578" s="127"/>
      <c r="Q578" s="127"/>
    </row>
    <row r="579" spans="1:17">
      <c r="B579" s="116" t="s">
        <v>130</v>
      </c>
      <c r="C579" s="71"/>
      <c r="D579" s="71"/>
      <c r="E579" s="71"/>
      <c r="F579" s="80"/>
      <c r="G579" s="80"/>
      <c r="H579" s="80"/>
      <c r="I579" s="80"/>
      <c r="J579" s="80"/>
      <c r="K579" s="80"/>
      <c r="L579" s="80"/>
      <c r="M579" s="80"/>
      <c r="N579" s="80"/>
      <c r="O579" s="80"/>
      <c r="P579" s="80"/>
      <c r="Q579" s="80"/>
    </row>
    <row r="580" spans="1:17">
      <c r="B580" s="117" t="str">
        <f>CONCATENATE("Running ", CHOOSE(Assumptions!$B$7,Assumptions!$B$13,Assumptions!$B$14,Assumptions!$B$15)," Model")</f>
        <v>Running Base Case Model</v>
      </c>
      <c r="C580" s="80"/>
      <c r="D580" s="80"/>
      <c r="E580" s="80"/>
      <c r="F580" s="80"/>
      <c r="G580" s="80"/>
      <c r="H580" s="80"/>
    </row>
    <row r="581" spans="1:17">
      <c r="B581" s="113"/>
      <c r="C581" s="80"/>
      <c r="D581" s="80"/>
      <c r="E581" s="80"/>
      <c r="F581" s="169"/>
      <c r="G581" s="169"/>
      <c r="H581" s="169"/>
      <c r="I581" s="80"/>
      <c r="J581" s="80"/>
      <c r="K581" s="404" t="s">
        <v>308</v>
      </c>
      <c r="L581" s="405" t="s">
        <v>309</v>
      </c>
      <c r="M581" s="406"/>
      <c r="N581" s="406"/>
      <c r="O581" s="406"/>
      <c r="P581" s="407"/>
      <c r="Q581" s="408" t="s">
        <v>264</v>
      </c>
    </row>
    <row r="582" spans="1:17">
      <c r="B582" s="294" t="s">
        <v>430</v>
      </c>
      <c r="C582" s="295"/>
      <c r="D582" s="295"/>
      <c r="E582" s="295"/>
      <c r="F582" s="333"/>
      <c r="I582" s="169"/>
      <c r="J582" s="169"/>
      <c r="K582" s="409" t="s">
        <v>310</v>
      </c>
      <c r="L582" s="273" t="s">
        <v>310</v>
      </c>
      <c r="M582" s="410" t="s">
        <v>310</v>
      </c>
      <c r="N582" s="410" t="s">
        <v>310</v>
      </c>
      <c r="O582" s="410" t="s">
        <v>310</v>
      </c>
      <c r="P582" s="274" t="s">
        <v>310</v>
      </c>
      <c r="Q582" s="411" t="s">
        <v>310</v>
      </c>
    </row>
    <row r="583" spans="1:17">
      <c r="B583" s="110" t="s">
        <v>302</v>
      </c>
      <c r="E583" s="401">
        <f>Summary!P72</f>
        <v>0.03</v>
      </c>
      <c r="F583" s="395" t="s">
        <v>98</v>
      </c>
      <c r="I583" s="58" t="s">
        <v>306</v>
      </c>
      <c r="K583" s="412">
        <f>Assumptions!$D$114</f>
        <v>45931</v>
      </c>
      <c r="L583" s="283">
        <f>Assumptions!$D$117</f>
        <v>46022</v>
      </c>
      <c r="M583" s="397">
        <f>EDATE(L583,12)</f>
        <v>46387</v>
      </c>
      <c r="N583" s="397">
        <f t="shared" ref="N583:Q583" si="284">EDATE(M583,12)</f>
        <v>46752</v>
      </c>
      <c r="O583" s="397">
        <f t="shared" si="284"/>
        <v>47118</v>
      </c>
      <c r="P583" s="284">
        <f t="shared" si="284"/>
        <v>47483</v>
      </c>
      <c r="Q583" s="413">
        <f t="shared" si="284"/>
        <v>47848</v>
      </c>
    </row>
    <row r="584" spans="1:17">
      <c r="B584" s="343" t="s">
        <v>303</v>
      </c>
      <c r="C584" s="295"/>
      <c r="D584" s="295"/>
      <c r="E584" s="402">
        <f>Summary!P73</f>
        <v>9.3293645512787945E-2</v>
      </c>
      <c r="F584" s="403" t="s">
        <v>98</v>
      </c>
      <c r="I584" s="58" t="s">
        <v>307</v>
      </c>
      <c r="K584" s="414">
        <f>Assumptions!$D$114</f>
        <v>45931</v>
      </c>
      <c r="L584" s="415">
        <f>Assumptions!$D$116</f>
        <v>46112</v>
      </c>
      <c r="M584" s="416">
        <f>EDATE(L584,12)</f>
        <v>46477</v>
      </c>
      <c r="N584" s="416">
        <f t="shared" ref="N584:Q584" si="285">EDATE(M584,12)</f>
        <v>46843</v>
      </c>
      <c r="O584" s="416">
        <f t="shared" si="285"/>
        <v>47208</v>
      </c>
      <c r="P584" s="417">
        <f t="shared" si="285"/>
        <v>47573</v>
      </c>
      <c r="Q584" s="418">
        <f t="shared" si="285"/>
        <v>47938</v>
      </c>
    </row>
    <row r="586" spans="1:17">
      <c r="B586" s="110" t="s">
        <v>311</v>
      </c>
      <c r="K586" s="53">
        <v>0</v>
      </c>
      <c r="L586" s="90">
        <f ca="1">L573</f>
        <v>6411.5093097462586</v>
      </c>
      <c r="M586" s="90">
        <f t="shared" ref="M586:Q586" ca="1" si="286">M573</f>
        <v>12260.969446356959</v>
      </c>
      <c r="N586" s="90">
        <f t="shared" ca="1" si="286"/>
        <v>13819.897236760129</v>
      </c>
      <c r="O586" s="90">
        <f t="shared" ca="1" si="286"/>
        <v>16508.255579107194</v>
      </c>
      <c r="P586" s="90">
        <f t="shared" ca="1" si="286"/>
        <v>18675.470750590004</v>
      </c>
      <c r="Q586" s="90">
        <f t="shared" ca="1" si="286"/>
        <v>16422.040396559179</v>
      </c>
    </row>
    <row r="588" spans="1:17">
      <c r="B588" s="3" t="s">
        <v>387</v>
      </c>
      <c r="Q588" s="167"/>
    </row>
    <row r="589" spans="1:17">
      <c r="B589" s="110" t="s">
        <v>309</v>
      </c>
      <c r="K589" s="53">
        <v>0</v>
      </c>
      <c r="L589" s="90">
        <f ca="1">L586</f>
        <v>6411.5093097462586</v>
      </c>
      <c r="M589" s="90">
        <f t="shared" ref="M589:P589" ca="1" si="287">M586</f>
        <v>12260.969446356959</v>
      </c>
      <c r="N589" s="90">
        <f t="shared" ca="1" si="287"/>
        <v>13819.897236760129</v>
      </c>
      <c r="O589" s="90">
        <f t="shared" ca="1" si="287"/>
        <v>16508.255579107194</v>
      </c>
      <c r="P589" s="90">
        <f t="shared" ca="1" si="287"/>
        <v>18675.470750590004</v>
      </c>
      <c r="Q589" s="167"/>
    </row>
    <row r="590" spans="1:17">
      <c r="B590" s="110" t="s">
        <v>312</v>
      </c>
      <c r="K590" s="53">
        <v>0</v>
      </c>
      <c r="L590" s="90">
        <v>0</v>
      </c>
      <c r="M590" s="90">
        <v>0</v>
      </c>
      <c r="N590" s="90">
        <v>0</v>
      </c>
      <c r="O590" s="90">
        <v>0</v>
      </c>
      <c r="P590" s="90">
        <f ca="1">$Q$586/($E$584-$E$583)</f>
        <v>259457.96396324248</v>
      </c>
      <c r="Q590" s="167"/>
    </row>
    <row r="591" spans="1:17" s="3" customFormat="1">
      <c r="B591" s="111" t="s">
        <v>313</v>
      </c>
      <c r="F591" s="58"/>
      <c r="G591" s="58"/>
      <c r="H591" s="58"/>
      <c r="I591" s="58"/>
      <c r="J591" s="58"/>
      <c r="K591" s="58">
        <v>0</v>
      </c>
      <c r="L591" s="93">
        <f ca="1">SUM(L589:L590)</f>
        <v>6411.5093097462586</v>
      </c>
      <c r="M591" s="93">
        <f t="shared" ref="M591:P591" ca="1" si="288">SUM(M589:M590)</f>
        <v>12260.969446356959</v>
      </c>
      <c r="N591" s="93">
        <f t="shared" ca="1" si="288"/>
        <v>13819.897236760129</v>
      </c>
      <c r="O591" s="93">
        <f t="shared" ca="1" si="288"/>
        <v>16508.255579107194</v>
      </c>
      <c r="P591" s="93">
        <f t="shared" ca="1" si="288"/>
        <v>278133.43471383251</v>
      </c>
      <c r="Q591" s="123"/>
    </row>
    <row r="592" spans="1:17">
      <c r="Q592" s="167"/>
    </row>
    <row r="593" spans="2:17">
      <c r="B593" s="3" t="s">
        <v>388</v>
      </c>
      <c r="Q593" s="167"/>
    </row>
    <row r="594" spans="2:17">
      <c r="B594" s="110" t="s">
        <v>314</v>
      </c>
      <c r="K594" s="53">
        <v>0</v>
      </c>
      <c r="L594" s="122">
        <f>YEARFRAC(L583,K583)</f>
        <v>0.25</v>
      </c>
      <c r="M594" s="122">
        <f>YEARFRAC(M583,L583)</f>
        <v>1</v>
      </c>
      <c r="N594" s="122">
        <f>YEARFRAC(N583,M583)</f>
        <v>1</v>
      </c>
      <c r="O594" s="122">
        <f>YEARFRAC(O583,N583)</f>
        <v>1</v>
      </c>
      <c r="P594" s="122">
        <f>YEARFRAC(P583,O583)</f>
        <v>1</v>
      </c>
      <c r="Q594" s="285"/>
    </row>
    <row r="595" spans="2:17">
      <c r="Q595" s="167"/>
    </row>
    <row r="596" spans="2:17">
      <c r="B596" s="110" t="s">
        <v>309</v>
      </c>
      <c r="K596" s="53">
        <v>0</v>
      </c>
      <c r="L596" s="90">
        <f ca="1">L594*L589</f>
        <v>1602.8773274365647</v>
      </c>
      <c r="M596" s="90">
        <f t="shared" ref="M596:P596" ca="1" si="289">M594*M589</f>
        <v>12260.969446356959</v>
      </c>
      <c r="N596" s="90">
        <f t="shared" ca="1" si="289"/>
        <v>13819.897236760129</v>
      </c>
      <c r="O596" s="90">
        <f t="shared" ca="1" si="289"/>
        <v>16508.255579107194</v>
      </c>
      <c r="P596" s="90">
        <f t="shared" ca="1" si="289"/>
        <v>18675.470750590004</v>
      </c>
      <c r="Q596" s="167"/>
    </row>
    <row r="597" spans="2:17">
      <c r="B597" s="110" t="s">
        <v>312</v>
      </c>
      <c r="K597" s="53">
        <v>0</v>
      </c>
      <c r="L597" s="90">
        <f>L590*L594</f>
        <v>0</v>
      </c>
      <c r="M597" s="90">
        <f>M590*M594</f>
        <v>0</v>
      </c>
      <c r="N597" s="90">
        <f>N590*N594</f>
        <v>0</v>
      </c>
      <c r="O597" s="90">
        <f>O590*O594</f>
        <v>0</v>
      </c>
      <c r="P597" s="90">
        <f ca="1">P590*P594</f>
        <v>259457.96396324248</v>
      </c>
      <c r="Q597" s="167"/>
    </row>
    <row r="598" spans="2:17" s="3" customFormat="1">
      <c r="B598" s="111" t="s">
        <v>313</v>
      </c>
      <c r="F598" s="58"/>
      <c r="G598" s="58"/>
      <c r="H598" s="58"/>
      <c r="I598" s="58"/>
      <c r="J598" s="58"/>
      <c r="K598" s="58">
        <v>0</v>
      </c>
      <c r="L598" s="92">
        <f ca="1">SUM(L596:L597)</f>
        <v>1602.8773274365647</v>
      </c>
      <c r="M598" s="92">
        <f t="shared" ref="M598:P598" ca="1" si="290">SUM(M596:M597)</f>
        <v>12260.969446356959</v>
      </c>
      <c r="N598" s="92">
        <f t="shared" ca="1" si="290"/>
        <v>13819.897236760129</v>
      </c>
      <c r="O598" s="92">
        <f t="shared" ca="1" si="290"/>
        <v>16508.255579107194</v>
      </c>
      <c r="P598" s="92">
        <f t="shared" ca="1" si="290"/>
        <v>278133.43471383251</v>
      </c>
      <c r="Q598" s="123"/>
    </row>
    <row r="599" spans="2:17">
      <c r="Q599" s="167"/>
    </row>
    <row r="600" spans="2:17">
      <c r="B600" s="3" t="s">
        <v>389</v>
      </c>
      <c r="Q600" s="167"/>
    </row>
    <row r="601" spans="2:17">
      <c r="B601" s="110" t="s">
        <v>315</v>
      </c>
      <c r="K601" s="53">
        <v>0</v>
      </c>
      <c r="L601" s="275">
        <f>K601+YEARFRAC(L584,K584)</f>
        <v>0.5</v>
      </c>
      <c r="M601" s="275">
        <f>L601+YEARFRAC(M584,L584)</f>
        <v>1.5</v>
      </c>
      <c r="N601" s="275">
        <f>M601+YEARFRAC(N584,M584)</f>
        <v>2.5</v>
      </c>
      <c r="O601" s="275">
        <f>N601+YEARFRAC(O584,N584)</f>
        <v>3.5</v>
      </c>
      <c r="P601" s="275">
        <f>O601+YEARFRAC(P584,O584)</f>
        <v>4.5</v>
      </c>
      <c r="Q601" s="286"/>
    </row>
    <row r="602" spans="2:17">
      <c r="Q602" s="167"/>
    </row>
    <row r="603" spans="2:17">
      <c r="B603" s="110" t="s">
        <v>309</v>
      </c>
      <c r="K603" s="53">
        <v>0</v>
      </c>
      <c r="L603" s="90">
        <f t="shared" ref="L603:P604" ca="1" si="291">L596/(1+$E$584)^L$601</f>
        <v>1532.9637102241622</v>
      </c>
      <c r="M603" s="90">
        <f t="shared" ca="1" si="291"/>
        <v>10725.550063383102</v>
      </c>
      <c r="N603" s="90">
        <f t="shared" ca="1" si="291"/>
        <v>11057.647824652624</v>
      </c>
      <c r="O603" s="90">
        <f t="shared" ca="1" si="291"/>
        <v>12081.540117982568</v>
      </c>
      <c r="P603" s="90">
        <f t="shared" ca="1" si="291"/>
        <v>12501.319374270843</v>
      </c>
      <c r="Q603" s="167"/>
    </row>
    <row r="604" spans="2:17">
      <c r="B604" s="110" t="s">
        <v>312</v>
      </c>
      <c r="K604" s="53">
        <v>0</v>
      </c>
      <c r="L604" s="90">
        <f t="shared" si="291"/>
        <v>0</v>
      </c>
      <c r="M604" s="90">
        <f t="shared" si="291"/>
        <v>0</v>
      </c>
      <c r="N604" s="90">
        <f t="shared" si="291"/>
        <v>0</v>
      </c>
      <c r="O604" s="90">
        <f t="shared" si="291"/>
        <v>0</v>
      </c>
      <c r="P604" s="90">
        <f t="shared" ca="1" si="291"/>
        <v>173680.59499116385</v>
      </c>
      <c r="Q604" s="167"/>
    </row>
    <row r="605" spans="2:17">
      <c r="B605" s="111" t="s">
        <v>313</v>
      </c>
      <c r="K605" s="53">
        <v>0</v>
      </c>
      <c r="L605" s="92">
        <f ca="1">SUM(L603:L604)</f>
        <v>1532.9637102241622</v>
      </c>
      <c r="M605" s="92">
        <f t="shared" ref="M605:P605" ca="1" si="292">SUM(M603:M604)</f>
        <v>10725.550063383102</v>
      </c>
      <c r="N605" s="92">
        <f t="shared" ca="1" si="292"/>
        <v>11057.647824652624</v>
      </c>
      <c r="O605" s="92">
        <f t="shared" ca="1" si="292"/>
        <v>12081.540117982568</v>
      </c>
      <c r="P605" s="92">
        <f t="shared" ca="1" si="292"/>
        <v>186181.9143654347</v>
      </c>
      <c r="Q605" s="123"/>
    </row>
    <row r="607" spans="2:17">
      <c r="B607" s="119"/>
      <c r="C607" s="45"/>
      <c r="D607" s="45"/>
      <c r="E607" s="45"/>
      <c r="F607" s="62"/>
      <c r="G607" s="62"/>
      <c r="H607" s="62"/>
      <c r="I607" s="62"/>
      <c r="J607" s="62"/>
      <c r="K607" s="62"/>
      <c r="L607" s="62"/>
      <c r="M607" s="62"/>
      <c r="N607" s="62"/>
      <c r="O607" s="62"/>
      <c r="P607" s="62"/>
    </row>
    <row r="609" spans="1:17" ht="19">
      <c r="B609" s="3" t="s">
        <v>435</v>
      </c>
      <c r="E609" s="53"/>
      <c r="G609" s="3" t="s">
        <v>390</v>
      </c>
    </row>
    <row r="610" spans="1:17">
      <c r="B610" s="69" t="s">
        <v>317</v>
      </c>
      <c r="C610" s="69"/>
      <c r="D610" s="77" t="s">
        <v>148</v>
      </c>
      <c r="E610" s="97">
        <f ca="1">SUM(L605:P605)</f>
        <v>221579.61608167714</v>
      </c>
      <c r="G610" s="69" t="s">
        <v>319</v>
      </c>
      <c r="H610" s="69"/>
      <c r="I610" s="69"/>
      <c r="J610" s="276">
        <f ca="1">K610/K612</f>
        <v>0.21617070169873881</v>
      </c>
      <c r="K610" s="97">
        <f ca="1">SUM(L603:Q603)</f>
        <v>47899.021090513299</v>
      </c>
    </row>
    <row r="611" spans="1:17">
      <c r="B611" s="62" t="s">
        <v>318</v>
      </c>
      <c r="C611" s="62"/>
      <c r="D611" s="76" t="s">
        <v>148</v>
      </c>
      <c r="E611" s="91">
        <f ca="1">XNPV($E$584,K598:P598,K584:P584)</f>
        <v>221609.68771319379</v>
      </c>
      <c r="G611" s="53" t="s">
        <v>320</v>
      </c>
      <c r="J611" s="277">
        <f ca="1">K611/K612</f>
        <v>0.78382929830126113</v>
      </c>
      <c r="K611" s="90">
        <f ca="1">SUM(L604:Q604)</f>
        <v>173680.59499116385</v>
      </c>
    </row>
    <row r="612" spans="1:17">
      <c r="C612" s="53"/>
      <c r="G612" s="62" t="s">
        <v>316</v>
      </c>
      <c r="H612" s="62"/>
      <c r="I612" s="62"/>
      <c r="J612" s="186">
        <f ca="1">SUM(J610:J611)</f>
        <v>1</v>
      </c>
      <c r="K612" s="91">
        <f ca="1">SUM(K610:K611)</f>
        <v>221579.61608167714</v>
      </c>
    </row>
    <row r="613" spans="1:17">
      <c r="B613" s="1"/>
      <c r="C613" s="53"/>
      <c r="D613" s="53"/>
      <c r="E613" s="53"/>
    </row>
    <row r="614" spans="1:17">
      <c r="B614" s="3" t="s">
        <v>391</v>
      </c>
      <c r="C614" s="53"/>
      <c r="D614" s="53"/>
      <c r="E614" s="53"/>
      <c r="G614" s="3" t="s">
        <v>392</v>
      </c>
    </row>
    <row r="615" spans="1:17">
      <c r="B615" s="278" t="s">
        <v>316</v>
      </c>
      <c r="C615" s="69"/>
      <c r="D615" s="154" t="s">
        <v>148</v>
      </c>
      <c r="E615" s="97">
        <f ca="1">E611</f>
        <v>221609.68771319379</v>
      </c>
      <c r="G615" s="69" t="s">
        <v>321</v>
      </c>
      <c r="H615" s="69"/>
      <c r="I615" s="69"/>
      <c r="J615" s="154" t="s">
        <v>148</v>
      </c>
      <c r="K615" s="97">
        <f ca="1">E617</f>
        <v>229657.98771319381</v>
      </c>
    </row>
    <row r="616" spans="1:17">
      <c r="B616" s="279" t="str">
        <f>"- Net Debt"</f>
        <v>- Net Debt</v>
      </c>
      <c r="C616" s="53"/>
      <c r="D616" s="153" t="s">
        <v>148</v>
      </c>
      <c r="E616" s="90">
        <f>(SUM($K$101,$K$106)-$K$69)</f>
        <v>-8048.3000000000047</v>
      </c>
      <c r="G616" s="53" t="s">
        <v>322</v>
      </c>
      <c r="J616" s="153" t="s">
        <v>148</v>
      </c>
      <c r="K616" s="90">
        <f>Assumptions!$E$192/1000000</f>
        <v>393.28372000000002</v>
      </c>
    </row>
    <row r="617" spans="1:17">
      <c r="B617" s="280" t="s">
        <v>321</v>
      </c>
      <c r="C617" s="62"/>
      <c r="D617" s="155" t="s">
        <v>148</v>
      </c>
      <c r="E617" s="91">
        <f ca="1">E615-E616</f>
        <v>229657.98771319381</v>
      </c>
      <c r="G617" s="62" t="s">
        <v>321</v>
      </c>
      <c r="H617" s="62"/>
      <c r="I617" s="62"/>
      <c r="J617" s="281" t="s">
        <v>323</v>
      </c>
      <c r="K617" s="282">
        <f ca="1">(K615/K616)</f>
        <v>583.94989681544359</v>
      </c>
    </row>
    <row r="619" spans="1:17" s="399" customFormat="1" ht="13">
      <c r="Q619" s="399" t="s">
        <v>434</v>
      </c>
    </row>
    <row r="621" spans="1:17" ht="24">
      <c r="A621" s="1" t="s">
        <v>160</v>
      </c>
      <c r="B621" s="139" t="s">
        <v>324</v>
      </c>
      <c r="C621" s="140"/>
      <c r="D621" s="140"/>
      <c r="E621" s="140"/>
      <c r="F621" s="140"/>
      <c r="G621" s="140"/>
      <c r="H621" s="140"/>
      <c r="I621" s="140"/>
      <c r="J621" s="140"/>
      <c r="K621" s="140"/>
      <c r="L621" s="140"/>
      <c r="M621" s="140"/>
      <c r="N621" s="140"/>
      <c r="O621" s="140"/>
      <c r="P621" s="140"/>
      <c r="Q621" s="140"/>
    </row>
    <row r="622" spans="1:17">
      <c r="B622" s="126"/>
      <c r="C622" s="127"/>
      <c r="D622" s="127"/>
      <c r="E622" s="127"/>
      <c r="F622" s="127"/>
      <c r="G622" s="272"/>
      <c r="H622" s="127"/>
      <c r="I622" s="127"/>
      <c r="J622" s="127"/>
      <c r="K622" s="127"/>
      <c r="L622" s="127"/>
      <c r="M622" s="127"/>
      <c r="N622" s="127"/>
      <c r="O622" s="127"/>
      <c r="P622" s="127"/>
      <c r="Q622" s="127"/>
    </row>
    <row r="623" spans="1:17">
      <c r="B623" s="116" t="s">
        <v>130</v>
      </c>
      <c r="C623" s="71"/>
      <c r="D623" s="71"/>
      <c r="E623" s="71"/>
      <c r="F623" s="80"/>
      <c r="G623" s="80"/>
      <c r="H623" s="80"/>
      <c r="I623" s="80"/>
      <c r="J623" s="80"/>
      <c r="K623" s="80"/>
      <c r="L623" s="80"/>
      <c r="M623" s="80"/>
      <c r="N623" s="80"/>
      <c r="O623" s="80"/>
      <c r="P623" s="80"/>
      <c r="Q623" s="80"/>
    </row>
    <row r="624" spans="1:17">
      <c r="B624" s="117" t="str">
        <f>CONCATENATE("Running ", CHOOSE(Assumptions!$B$7,Assumptions!$B$13,Assumptions!$B$14,Assumptions!$B$15)," Model")</f>
        <v>Running Base Case Model</v>
      </c>
      <c r="C624" s="80"/>
      <c r="D624" s="80"/>
      <c r="E624" s="80"/>
      <c r="F624" s="80"/>
      <c r="G624" s="80"/>
    </row>
    <row r="625" spans="2:17">
      <c r="B625" s="113"/>
      <c r="C625" s="80"/>
      <c r="D625" s="80"/>
      <c r="E625" s="80"/>
      <c r="F625" s="169"/>
      <c r="G625" s="169"/>
      <c r="H625" s="80"/>
      <c r="I625" s="80"/>
      <c r="J625" s="80"/>
      <c r="K625" s="404" t="s">
        <v>308</v>
      </c>
      <c r="L625" s="405" t="s">
        <v>309</v>
      </c>
      <c r="M625" s="406"/>
      <c r="N625" s="406"/>
      <c r="O625" s="406"/>
      <c r="P625" s="407"/>
      <c r="Q625" s="408" t="s">
        <v>264</v>
      </c>
    </row>
    <row r="626" spans="2:17">
      <c r="B626" s="294" t="s">
        <v>430</v>
      </c>
      <c r="C626" s="295"/>
      <c r="D626" s="295"/>
      <c r="E626" s="295"/>
      <c r="F626" s="333"/>
      <c r="H626" s="169"/>
      <c r="I626" s="169"/>
      <c r="J626" s="169"/>
      <c r="K626" s="409" t="s">
        <v>310</v>
      </c>
      <c r="L626" s="273" t="s">
        <v>310</v>
      </c>
      <c r="M626" s="410" t="s">
        <v>310</v>
      </c>
      <c r="N626" s="410" t="s">
        <v>310</v>
      </c>
      <c r="O626" s="410" t="s">
        <v>310</v>
      </c>
      <c r="P626" s="274" t="s">
        <v>310</v>
      </c>
      <c r="Q626" s="411" t="s">
        <v>310</v>
      </c>
    </row>
    <row r="627" spans="2:17">
      <c r="B627" s="110" t="s">
        <v>328</v>
      </c>
      <c r="E627" s="419">
        <f>Summary!P110</f>
        <v>11</v>
      </c>
      <c r="F627" s="322" t="s">
        <v>327</v>
      </c>
      <c r="I627" s="287" t="s">
        <v>306</v>
      </c>
      <c r="K627" s="412">
        <f>Assumptions!$D$114</f>
        <v>45931</v>
      </c>
      <c r="L627" s="283">
        <f>Assumptions!$D$117</f>
        <v>46022</v>
      </c>
      <c r="M627" s="397">
        <f t="shared" ref="M627:Q628" si="293">EDATE(L627,12)</f>
        <v>46387</v>
      </c>
      <c r="N627" s="397">
        <f t="shared" si="293"/>
        <v>46752</v>
      </c>
      <c r="O627" s="397">
        <f t="shared" si="293"/>
        <v>47118</v>
      </c>
      <c r="P627" s="284">
        <f t="shared" si="293"/>
        <v>47483</v>
      </c>
      <c r="Q627" s="413">
        <f t="shared" si="293"/>
        <v>47848</v>
      </c>
    </row>
    <row r="628" spans="2:17">
      <c r="B628" s="110" t="s">
        <v>303</v>
      </c>
      <c r="E628" s="221">
        <f>Summary!P111</f>
        <v>9.3293645512787945E-2</v>
      </c>
      <c r="F628" s="395" t="s">
        <v>98</v>
      </c>
      <c r="I628" s="287" t="s">
        <v>307</v>
      </c>
      <c r="K628" s="414">
        <f>Assumptions!$D$114</f>
        <v>45931</v>
      </c>
      <c r="L628" s="415">
        <f>Assumptions!$D$116</f>
        <v>46112</v>
      </c>
      <c r="M628" s="416">
        <f t="shared" si="293"/>
        <v>46477</v>
      </c>
      <c r="N628" s="416">
        <f t="shared" si="293"/>
        <v>46843</v>
      </c>
      <c r="O628" s="416">
        <f t="shared" si="293"/>
        <v>47208</v>
      </c>
      <c r="P628" s="417">
        <f t="shared" si="293"/>
        <v>47573</v>
      </c>
      <c r="Q628" s="420">
        <f t="shared" si="293"/>
        <v>47938</v>
      </c>
    </row>
    <row r="629" spans="2:17">
      <c r="B629" s="343" t="s">
        <v>437</v>
      </c>
      <c r="C629" s="295"/>
      <c r="D629" s="295"/>
      <c r="E629" s="542">
        <f>YEARFRAC(Q628,Q627)</f>
        <v>0.25</v>
      </c>
      <c r="F629" s="423" t="s">
        <v>237</v>
      </c>
      <c r="I629" s="287"/>
      <c r="K629" s="396"/>
      <c r="L629" s="421"/>
      <c r="M629" s="422"/>
      <c r="N629" s="422"/>
      <c r="O629" s="422"/>
      <c r="P629" s="422"/>
      <c r="Q629" s="422"/>
    </row>
    <row r="630" spans="2:17">
      <c r="E630" s="25"/>
      <c r="I630" s="288"/>
    </row>
    <row r="631" spans="2:17">
      <c r="B631" s="110" t="s">
        <v>311</v>
      </c>
      <c r="I631" s="288"/>
      <c r="K631" s="53">
        <v>0</v>
      </c>
      <c r="L631" s="90">
        <f ca="1">L573</f>
        <v>6411.5093097462586</v>
      </c>
      <c r="M631" s="90">
        <f t="shared" ref="M631:Q631" ca="1" si="294">M573</f>
        <v>12260.969446356959</v>
      </c>
      <c r="N631" s="90">
        <f t="shared" ca="1" si="294"/>
        <v>13819.897236760129</v>
      </c>
      <c r="O631" s="90">
        <f t="shared" ca="1" si="294"/>
        <v>16508.255579107194</v>
      </c>
      <c r="P631" s="90">
        <f t="shared" ca="1" si="294"/>
        <v>18675.470750590004</v>
      </c>
      <c r="Q631" s="90">
        <f t="shared" ca="1" si="294"/>
        <v>16422.040396559179</v>
      </c>
    </row>
    <row r="632" spans="2:17">
      <c r="B632" s="110" t="s">
        <v>1</v>
      </c>
      <c r="I632" s="288"/>
      <c r="L632" s="90"/>
      <c r="M632" s="90"/>
      <c r="N632" s="90"/>
      <c r="O632" s="90"/>
      <c r="P632" s="90"/>
      <c r="Q632" s="90">
        <f>Q18</f>
        <v>25508.788234516935</v>
      </c>
    </row>
    <row r="633" spans="2:17">
      <c r="I633" s="288"/>
    </row>
    <row r="634" spans="2:17">
      <c r="B634" s="3" t="s">
        <v>387</v>
      </c>
      <c r="I634" s="288"/>
    </row>
    <row r="635" spans="2:17">
      <c r="B635" s="110" t="s">
        <v>309</v>
      </c>
      <c r="I635" s="287"/>
      <c r="K635" s="53">
        <v>0</v>
      </c>
      <c r="L635" s="90">
        <f ca="1">L631</f>
        <v>6411.5093097462586</v>
      </c>
      <c r="M635" s="90">
        <f t="shared" ref="M635:Q635" ca="1" si="295">M631</f>
        <v>12260.969446356959</v>
      </c>
      <c r="N635" s="90">
        <f t="shared" ca="1" si="295"/>
        <v>13819.897236760129</v>
      </c>
      <c r="O635" s="90">
        <f t="shared" ca="1" si="295"/>
        <v>16508.255579107194</v>
      </c>
      <c r="P635" s="90">
        <f t="shared" ca="1" si="295"/>
        <v>18675.470750590004</v>
      </c>
      <c r="Q635" s="90">
        <f t="shared" ca="1" si="295"/>
        <v>16422.040396559179</v>
      </c>
    </row>
    <row r="636" spans="2:17">
      <c r="B636" s="110" t="s">
        <v>312</v>
      </c>
      <c r="I636" s="287"/>
      <c r="K636" s="53">
        <v>0</v>
      </c>
      <c r="L636" s="90">
        <v>0</v>
      </c>
      <c r="M636" s="90">
        <v>0</v>
      </c>
      <c r="N636" s="90">
        <v>0</v>
      </c>
      <c r="O636" s="90">
        <v>0</v>
      </c>
      <c r="P636" s="90">
        <v>0</v>
      </c>
      <c r="Q636" s="90">
        <f>($Q$632*$E$627)/(1+$E$628)^$E$629</f>
        <v>274408.97249898402</v>
      </c>
    </row>
    <row r="637" spans="2:17" s="3" customFormat="1">
      <c r="B637" s="111" t="s">
        <v>313</v>
      </c>
      <c r="F637" s="58"/>
      <c r="G637" s="58"/>
      <c r="H637" s="58"/>
      <c r="J637" s="58"/>
      <c r="K637" s="58">
        <v>0</v>
      </c>
      <c r="L637" s="93">
        <f ca="1">SUM(L635:L636)</f>
        <v>6411.5093097462586</v>
      </c>
      <c r="M637" s="93">
        <f t="shared" ref="M637" ca="1" si="296">SUM(M635:M636)</f>
        <v>12260.969446356959</v>
      </c>
      <c r="N637" s="93">
        <f t="shared" ref="N637" ca="1" si="297">SUM(N635:N636)</f>
        <v>13819.897236760129</v>
      </c>
      <c r="O637" s="93">
        <f t="shared" ref="O637" ca="1" si="298">SUM(O635:O636)</f>
        <v>16508.255579107194</v>
      </c>
      <c r="P637" s="93">
        <f t="shared" ref="P637" ca="1" si="299">SUM(P635:P636)</f>
        <v>18675.470750590004</v>
      </c>
      <c r="Q637" s="93">
        <f t="shared" ref="Q637" ca="1" si="300">SUM(Q635:Q636)</f>
        <v>290831.01289554319</v>
      </c>
    </row>
    <row r="639" spans="2:17" ht="19">
      <c r="B639" s="3" t="s">
        <v>440</v>
      </c>
    </row>
    <row r="640" spans="2:17">
      <c r="B640" s="110" t="s">
        <v>314</v>
      </c>
      <c r="K640" s="53">
        <v>0</v>
      </c>
      <c r="L640" s="122">
        <f t="shared" ref="L640:Q640" si="301">YEARFRAC(L627,K627)</f>
        <v>0.25</v>
      </c>
      <c r="M640" s="122">
        <f t="shared" si="301"/>
        <v>1</v>
      </c>
      <c r="N640" s="122">
        <f t="shared" si="301"/>
        <v>1</v>
      </c>
      <c r="O640" s="122">
        <f t="shared" si="301"/>
        <v>1</v>
      </c>
      <c r="P640" s="122">
        <f t="shared" si="301"/>
        <v>1</v>
      </c>
      <c r="Q640" s="122">
        <f t="shared" si="301"/>
        <v>1</v>
      </c>
    </row>
    <row r="642" spans="2:17">
      <c r="B642" s="110" t="s">
        <v>309</v>
      </c>
      <c r="K642" s="53">
        <v>0</v>
      </c>
      <c r="L642" s="90">
        <f ca="1">L640*L635</f>
        <v>1602.8773274365647</v>
      </c>
      <c r="M642" s="90">
        <f t="shared" ref="M642:Q642" ca="1" si="302">M640*M635</f>
        <v>12260.969446356959</v>
      </c>
      <c r="N642" s="90">
        <f t="shared" ca="1" si="302"/>
        <v>13819.897236760129</v>
      </c>
      <c r="O642" s="90">
        <f t="shared" ca="1" si="302"/>
        <v>16508.255579107194</v>
      </c>
      <c r="P642" s="90">
        <f t="shared" ca="1" si="302"/>
        <v>18675.470750590004</v>
      </c>
      <c r="Q642" s="90">
        <f t="shared" ca="1" si="302"/>
        <v>16422.040396559179</v>
      </c>
    </row>
    <row r="643" spans="2:17">
      <c r="B643" s="110" t="s">
        <v>312</v>
      </c>
      <c r="K643" s="53">
        <v>0</v>
      </c>
      <c r="L643" s="90">
        <v>0</v>
      </c>
      <c r="M643" s="90">
        <v>0</v>
      </c>
      <c r="N643" s="90">
        <v>0</v>
      </c>
      <c r="O643" s="90">
        <v>0</v>
      </c>
      <c r="P643" s="90">
        <v>0</v>
      </c>
      <c r="Q643" s="90">
        <f>Q640*Q636</f>
        <v>274408.97249898402</v>
      </c>
    </row>
    <row r="644" spans="2:17" s="3" customFormat="1">
      <c r="B644" s="111" t="s">
        <v>313</v>
      </c>
      <c r="F644" s="58"/>
      <c r="G644" s="58"/>
      <c r="H644" s="58"/>
      <c r="I644" s="58"/>
      <c r="J644" s="58"/>
      <c r="K644" s="58">
        <v>0</v>
      </c>
      <c r="L644" s="92">
        <f ca="1">SUM(L642:L643)</f>
        <v>1602.8773274365647</v>
      </c>
      <c r="M644" s="92">
        <f t="shared" ref="M644" ca="1" si="303">SUM(M642:M643)</f>
        <v>12260.969446356959</v>
      </c>
      <c r="N644" s="92">
        <f t="shared" ref="N644" ca="1" si="304">SUM(N642:N643)</f>
        <v>13819.897236760129</v>
      </c>
      <c r="O644" s="92">
        <f t="shared" ref="O644" ca="1" si="305">SUM(O642:O643)</f>
        <v>16508.255579107194</v>
      </c>
      <c r="P644" s="92">
        <f t="shared" ref="P644" ca="1" si="306">SUM(P642:P643)</f>
        <v>18675.470750590004</v>
      </c>
      <c r="Q644" s="92">
        <f t="shared" ref="Q644" ca="1" si="307">SUM(Q642:Q643)</f>
        <v>290831.01289554319</v>
      </c>
    </row>
    <row r="646" spans="2:17">
      <c r="B646" s="3" t="s">
        <v>389</v>
      </c>
    </row>
    <row r="647" spans="2:17">
      <c r="B647" s="110" t="s">
        <v>315</v>
      </c>
      <c r="K647" s="53">
        <v>0</v>
      </c>
      <c r="L647" s="275">
        <f t="shared" ref="L647:Q647" si="308">K647+YEARFRAC(L628,K628)</f>
        <v>0.5</v>
      </c>
      <c r="M647" s="275">
        <f t="shared" si="308"/>
        <v>1.5</v>
      </c>
      <c r="N647" s="275">
        <f t="shared" si="308"/>
        <v>2.5</v>
      </c>
      <c r="O647" s="275">
        <f t="shared" si="308"/>
        <v>3.5</v>
      </c>
      <c r="P647" s="275">
        <f t="shared" si="308"/>
        <v>4.5</v>
      </c>
      <c r="Q647" s="275">
        <f t="shared" si="308"/>
        <v>5.5</v>
      </c>
    </row>
    <row r="649" spans="2:17">
      <c r="B649" s="110" t="s">
        <v>309</v>
      </c>
      <c r="K649" s="53">
        <v>0</v>
      </c>
      <c r="L649" s="90">
        <f t="shared" ref="L649:Q649" ca="1" si="309">L642/(1+$E$628)^L$647</f>
        <v>1532.9637102241622</v>
      </c>
      <c r="M649" s="90">
        <f t="shared" ca="1" si="309"/>
        <v>10725.550063383102</v>
      </c>
      <c r="N649" s="90">
        <f t="shared" ca="1" si="309"/>
        <v>11057.647824652624</v>
      </c>
      <c r="O649" s="90">
        <f t="shared" ca="1" si="309"/>
        <v>12081.540117982568</v>
      </c>
      <c r="P649" s="90">
        <f t="shared" ca="1" si="309"/>
        <v>12501.319374270843</v>
      </c>
      <c r="Q649" s="90">
        <f t="shared" ca="1" si="309"/>
        <v>10054.826584732251</v>
      </c>
    </row>
    <row r="650" spans="2:17">
      <c r="B650" s="110" t="s">
        <v>312</v>
      </c>
      <c r="K650" s="53">
        <v>0</v>
      </c>
      <c r="L650" s="90">
        <f>L643/(1+$E$584)^L$601</f>
        <v>0</v>
      </c>
      <c r="M650" s="90">
        <f>M643/(1+$E$584)^M$601</f>
        <v>0</v>
      </c>
      <c r="N650" s="90">
        <f>N643/(1+$E$584)^N$601</f>
        <v>0</v>
      </c>
      <c r="O650" s="90">
        <f>O643/(1+$E$584)^O$601</f>
        <v>0</v>
      </c>
      <c r="P650" s="90">
        <f>P643/(1+$E$584)^P$601</f>
        <v>0</v>
      </c>
      <c r="Q650" s="90">
        <f>Q643/(1+$E$628)^Q$647</f>
        <v>168014.11792592789</v>
      </c>
    </row>
    <row r="651" spans="2:17">
      <c r="B651" s="111" t="s">
        <v>313</v>
      </c>
      <c r="K651" s="53">
        <v>0</v>
      </c>
      <c r="L651" s="92">
        <f ca="1">SUM(L649:L650)</f>
        <v>1532.9637102241622</v>
      </c>
      <c r="M651" s="92">
        <f t="shared" ref="M651" ca="1" si="310">SUM(M649:M650)</f>
        <v>10725.550063383102</v>
      </c>
      <c r="N651" s="92">
        <f t="shared" ref="N651" ca="1" si="311">SUM(N649:N650)</f>
        <v>11057.647824652624</v>
      </c>
      <c r="O651" s="92">
        <f t="shared" ref="O651" ca="1" si="312">SUM(O649:O650)</f>
        <v>12081.540117982568</v>
      </c>
      <c r="P651" s="92">
        <f t="shared" ref="P651" ca="1" si="313">SUM(P649:P650)</f>
        <v>12501.319374270843</v>
      </c>
      <c r="Q651" s="92">
        <f t="shared" ref="Q651" ca="1" si="314">SUM(Q649:Q650)</f>
        <v>178068.94451066013</v>
      </c>
    </row>
    <row r="653" spans="2:17">
      <c r="B653" s="119"/>
      <c r="C653" s="45"/>
      <c r="D653" s="45"/>
      <c r="E653" s="45"/>
      <c r="F653" s="62"/>
      <c r="G653" s="62"/>
      <c r="H653" s="62"/>
      <c r="I653" s="62"/>
      <c r="J653" s="62"/>
      <c r="K653" s="62"/>
      <c r="L653" s="62"/>
      <c r="M653" s="62"/>
      <c r="N653" s="62"/>
      <c r="O653" s="62"/>
      <c r="P653" s="62"/>
      <c r="Q653" s="62"/>
    </row>
    <row r="655" spans="2:17" ht="19">
      <c r="B655" s="3" t="s">
        <v>441</v>
      </c>
      <c r="F655" s="1"/>
      <c r="G655" s="3" t="s">
        <v>390</v>
      </c>
      <c r="L655" s="1"/>
      <c r="M655" s="1"/>
      <c r="N655" s="1"/>
    </row>
    <row r="656" spans="2:17">
      <c r="B656" s="69" t="s">
        <v>317</v>
      </c>
      <c r="C656" s="46"/>
      <c r="D656" s="77" t="s">
        <v>148</v>
      </c>
      <c r="E656" s="97">
        <f ca="1">SUM(L651:Q651)</f>
        <v>225967.96560117343</v>
      </c>
      <c r="F656" s="1"/>
      <c r="G656" s="69" t="s">
        <v>319</v>
      </c>
      <c r="H656" s="69"/>
      <c r="I656" s="69"/>
      <c r="J656" s="276">
        <f ca="1">K656/K658</f>
        <v>0.25646930758996306</v>
      </c>
      <c r="K656" s="97">
        <f ca="1">SUM(L649:Q649)</f>
        <v>57953.847675245546</v>
      </c>
      <c r="L656" s="1"/>
      <c r="M656" s="1"/>
      <c r="N656" s="1"/>
    </row>
    <row r="657" spans="2:17">
      <c r="B657" s="62" t="s">
        <v>318</v>
      </c>
      <c r="C657" s="45"/>
      <c r="D657" s="76" t="s">
        <v>148</v>
      </c>
      <c r="E657" s="91">
        <f ca="1">XNPV($E$628,K644:Q644,K628:Q628)</f>
        <v>225998.57345463141</v>
      </c>
      <c r="F657" s="1"/>
      <c r="G657" s="53" t="s">
        <v>320</v>
      </c>
      <c r="J657" s="277">
        <f ca="1">K657/K658</f>
        <v>0.74353069241003689</v>
      </c>
      <c r="K657" s="90">
        <f>SUM(L650:Q650)</f>
        <v>168014.11792592789</v>
      </c>
      <c r="L657" s="1"/>
      <c r="M657" s="1"/>
      <c r="N657" s="1"/>
    </row>
    <row r="658" spans="2:17">
      <c r="F658" s="1"/>
      <c r="G658" s="62" t="s">
        <v>316</v>
      </c>
      <c r="H658" s="62"/>
      <c r="I658" s="62"/>
      <c r="J658" s="186">
        <f ca="1">SUM(J656:J657)</f>
        <v>1</v>
      </c>
      <c r="K658" s="91">
        <f ca="1">SUM(K656:K657)</f>
        <v>225967.96560117343</v>
      </c>
      <c r="L658" s="1"/>
      <c r="M658" s="1"/>
      <c r="N658" s="1"/>
    </row>
    <row r="659" spans="2:17">
      <c r="B659" s="1"/>
      <c r="D659" s="53"/>
      <c r="E659" s="53"/>
    </row>
    <row r="660" spans="2:17">
      <c r="B660" s="3" t="s">
        <v>391</v>
      </c>
      <c r="D660" s="53"/>
      <c r="E660" s="53"/>
      <c r="F660" s="1"/>
      <c r="G660" s="3" t="s">
        <v>392</v>
      </c>
      <c r="L660" s="1"/>
      <c r="M660" s="1"/>
      <c r="N660" s="1"/>
    </row>
    <row r="661" spans="2:17">
      <c r="B661" s="278" t="s">
        <v>316</v>
      </c>
      <c r="C661" s="46"/>
      <c r="D661" s="154" t="s">
        <v>148</v>
      </c>
      <c r="E661" s="97">
        <f ca="1">E657</f>
        <v>225998.57345463141</v>
      </c>
      <c r="F661" s="1"/>
      <c r="G661" s="69" t="s">
        <v>321</v>
      </c>
      <c r="H661" s="69"/>
      <c r="I661" s="69"/>
      <c r="J661" s="154" t="s">
        <v>148</v>
      </c>
      <c r="K661" s="97">
        <f ca="1">E663</f>
        <v>234046.87345463142</v>
      </c>
      <c r="L661" s="1"/>
      <c r="M661" s="1"/>
      <c r="N661" s="1"/>
    </row>
    <row r="662" spans="2:17">
      <c r="B662" s="279" t="str">
        <f>"- Net Debt"</f>
        <v>- Net Debt</v>
      </c>
      <c r="D662" s="153" t="s">
        <v>148</v>
      </c>
      <c r="E662" s="90">
        <f>-(SUM($K$101,$K$106)-$K$69)</f>
        <v>8048.3000000000047</v>
      </c>
      <c r="F662" s="1"/>
      <c r="G662" s="53" t="s">
        <v>322</v>
      </c>
      <c r="J662" s="153" t="s">
        <v>148</v>
      </c>
      <c r="K662" s="90">
        <f>Assumptions!$E$192/1000000</f>
        <v>393.28372000000002</v>
      </c>
      <c r="L662" s="1"/>
      <c r="M662" s="1"/>
      <c r="N662" s="1"/>
    </row>
    <row r="663" spans="2:17">
      <c r="B663" s="280" t="s">
        <v>321</v>
      </c>
      <c r="C663" s="45"/>
      <c r="D663" s="155" t="s">
        <v>148</v>
      </c>
      <c r="E663" s="91">
        <f ca="1">SUM(E661:E662)</f>
        <v>234046.87345463142</v>
      </c>
      <c r="F663" s="1"/>
      <c r="G663" s="62" t="s">
        <v>321</v>
      </c>
      <c r="H663" s="62"/>
      <c r="I663" s="62"/>
      <c r="J663" s="281" t="s">
        <v>323</v>
      </c>
      <c r="K663" s="282">
        <f ca="1">(K661/K662)</f>
        <v>595.10948852556476</v>
      </c>
      <c r="L663" s="1"/>
      <c r="M663" s="1"/>
      <c r="N663" s="1"/>
    </row>
    <row r="665" spans="2:17">
      <c r="Q665" s="337" t="s">
        <v>438</v>
      </c>
    </row>
    <row r="666" spans="2:17">
      <c r="Q666" s="375" t="s">
        <v>439</v>
      </c>
    </row>
  </sheetData>
  <conditionalFormatting sqref="B120:Q121 B122:P125">
    <cfRule type="cellIs" dxfId="0" priority="1" stopIfTrue="1" operator="equal">
      <formula>1</formula>
    </cfRule>
  </conditionalFormatting>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4D7C-C24B-6241-AF9B-DC1FF8D71849}">
  <dimension ref="A2:S30"/>
  <sheetViews>
    <sheetView showGridLines="0" topLeftCell="A3" zoomScale="116" zoomScaleNormal="100" workbookViewId="0">
      <selection activeCell="H31" sqref="H31"/>
    </sheetView>
  </sheetViews>
  <sheetFormatPr baseColWidth="10" defaultRowHeight="16"/>
  <cols>
    <col min="1" max="1" width="5" customWidth="1"/>
    <col min="8" max="8" width="13.1640625" bestFit="1" customWidth="1"/>
    <col min="17" max="17" width="11.6640625" bestFit="1" customWidth="1"/>
  </cols>
  <sheetData>
    <row r="2" spans="1:19" ht="24">
      <c r="A2" s="1" t="s">
        <v>25</v>
      </c>
      <c r="B2" s="135" t="s">
        <v>329</v>
      </c>
      <c r="C2" s="136"/>
      <c r="D2" s="136"/>
      <c r="E2" s="137"/>
      <c r="F2" s="137"/>
      <c r="G2" s="137"/>
      <c r="H2" s="137"/>
      <c r="I2" s="137"/>
      <c r="J2" s="137"/>
      <c r="K2" s="137"/>
      <c r="L2" s="137"/>
      <c r="M2" s="137"/>
      <c r="N2" s="137"/>
      <c r="O2" s="137"/>
      <c r="P2" s="137"/>
      <c r="Q2" s="137"/>
      <c r="R2" s="137"/>
      <c r="S2" s="137"/>
    </row>
    <row r="3" spans="1:19">
      <c r="A3" s="1"/>
      <c r="B3" s="126"/>
      <c r="C3" s="127"/>
      <c r="D3" s="127"/>
      <c r="E3" s="127"/>
      <c r="F3" s="127"/>
      <c r="G3" s="127"/>
      <c r="H3" s="127"/>
      <c r="I3" s="127"/>
      <c r="J3" s="127"/>
      <c r="K3" s="127"/>
      <c r="L3" s="127"/>
      <c r="M3" s="127"/>
      <c r="N3" s="127"/>
      <c r="O3" s="127"/>
      <c r="P3" s="127"/>
      <c r="Q3" s="127"/>
      <c r="R3" s="127"/>
      <c r="S3" s="127"/>
    </row>
    <row r="4" spans="1:19">
      <c r="A4" s="1"/>
      <c r="B4" s="116" t="s">
        <v>132</v>
      </c>
      <c r="C4" s="1"/>
      <c r="D4" s="1"/>
      <c r="E4" s="1"/>
      <c r="F4" s="1"/>
      <c r="G4" s="1"/>
      <c r="H4" s="1"/>
      <c r="I4" s="2"/>
      <c r="J4" s="1"/>
      <c r="K4" s="1"/>
      <c r="L4" s="1"/>
      <c r="M4" s="1"/>
      <c r="N4" s="1"/>
      <c r="O4" s="1"/>
      <c r="P4" s="1"/>
      <c r="Q4" s="1"/>
      <c r="R4" s="1"/>
    </row>
    <row r="5" spans="1:19">
      <c r="A5" s="1"/>
      <c r="B5" s="524"/>
      <c r="C5" s="295"/>
      <c r="D5" s="295"/>
      <c r="E5" s="295"/>
      <c r="F5" s="295"/>
      <c r="G5" s="295"/>
      <c r="H5" s="1"/>
      <c r="I5" s="2"/>
      <c r="J5" s="1"/>
      <c r="K5" s="1"/>
      <c r="L5" s="1"/>
      <c r="M5" s="1"/>
      <c r="N5" s="1"/>
      <c r="O5" s="1"/>
      <c r="P5" s="1"/>
      <c r="Q5" s="1"/>
      <c r="R5" s="1"/>
    </row>
    <row r="6" spans="1:19" ht="19">
      <c r="B6" s="609" t="s">
        <v>519</v>
      </c>
      <c r="C6" s="525"/>
      <c r="D6" s="525"/>
      <c r="E6" s="525"/>
      <c r="F6" s="525"/>
      <c r="G6" s="607">
        <f>Assumptions!K190</f>
        <v>1.17</v>
      </c>
    </row>
    <row r="7" spans="1:19" ht="19">
      <c r="B7" s="610" t="s">
        <v>520</v>
      </c>
      <c r="C7" s="296"/>
      <c r="D7" s="296"/>
      <c r="E7" s="296"/>
      <c r="F7" s="296"/>
      <c r="G7" s="608">
        <v>173.1</v>
      </c>
    </row>
    <row r="8" spans="1:19" ht="17" customHeight="1">
      <c r="B8" s="1"/>
      <c r="C8" s="1"/>
      <c r="D8" s="1"/>
      <c r="E8" s="1"/>
      <c r="H8" s="3"/>
      <c r="I8" s="292"/>
      <c r="J8" s="3"/>
      <c r="K8" s="292" t="s">
        <v>331</v>
      </c>
      <c r="L8" s="306" t="s">
        <v>336</v>
      </c>
      <c r="M8" s="293"/>
      <c r="N8" s="308" t="s">
        <v>338</v>
      </c>
      <c r="O8" s="312"/>
      <c r="P8" s="313"/>
      <c r="Q8" s="494" t="s">
        <v>518</v>
      </c>
      <c r="R8" s="494" t="s">
        <v>516</v>
      </c>
      <c r="S8" s="494" t="s">
        <v>517</v>
      </c>
    </row>
    <row r="9" spans="1:19" ht="17">
      <c r="B9" s="294" t="s">
        <v>266</v>
      </c>
      <c r="C9" s="295"/>
      <c r="D9" s="296"/>
      <c r="E9" s="294" t="s">
        <v>267</v>
      </c>
      <c r="F9" s="296"/>
      <c r="G9" s="296"/>
      <c r="H9" s="297" t="s">
        <v>330</v>
      </c>
      <c r="I9" s="298"/>
      <c r="J9" s="294"/>
      <c r="K9" s="298" t="s">
        <v>332</v>
      </c>
      <c r="L9" s="307" t="s">
        <v>337</v>
      </c>
      <c r="M9" s="299" t="s">
        <v>1</v>
      </c>
      <c r="N9" s="309" t="s">
        <v>1</v>
      </c>
      <c r="O9" s="300" t="s">
        <v>339</v>
      </c>
      <c r="P9" s="311"/>
      <c r="Q9" s="299" t="s">
        <v>340</v>
      </c>
      <c r="R9" s="299" t="s">
        <v>341</v>
      </c>
      <c r="S9" s="299" t="s">
        <v>341</v>
      </c>
    </row>
    <row r="10" spans="1:19">
      <c r="B10" s="3"/>
      <c r="C10" s="1"/>
      <c r="E10" s="3"/>
      <c r="H10" s="314"/>
      <c r="I10" s="292"/>
      <c r="J10" s="3"/>
      <c r="K10" s="315" t="s">
        <v>323</v>
      </c>
      <c r="L10" s="316"/>
      <c r="M10" s="317" t="s">
        <v>342</v>
      </c>
      <c r="N10" s="318" t="s">
        <v>342</v>
      </c>
      <c r="O10" s="319" t="s">
        <v>343</v>
      </c>
      <c r="P10" s="320" t="s">
        <v>344</v>
      </c>
      <c r="Q10" s="317" t="s">
        <v>342</v>
      </c>
      <c r="R10" s="317" t="s">
        <v>342</v>
      </c>
      <c r="S10" s="319" t="s">
        <v>343</v>
      </c>
    </row>
    <row r="11" spans="1:19">
      <c r="B11" s="3"/>
      <c r="C11" s="1"/>
      <c r="E11" s="3"/>
      <c r="H11" s="314"/>
      <c r="I11" s="292"/>
      <c r="J11" s="3"/>
      <c r="K11" s="560"/>
      <c r="L11" s="316"/>
      <c r="M11" s="317"/>
      <c r="N11" s="318"/>
      <c r="O11" s="319"/>
      <c r="P11" s="320"/>
      <c r="Q11" s="317"/>
      <c r="R11" s="317"/>
      <c r="S11" s="319"/>
    </row>
    <row r="12" spans="1:19" ht="19">
      <c r="B12" s="575" t="s">
        <v>531</v>
      </c>
      <c r="C12" s="563"/>
      <c r="D12" s="562"/>
      <c r="E12" s="563" t="s">
        <v>530</v>
      </c>
      <c r="F12" s="562"/>
      <c r="G12" s="562"/>
      <c r="H12" s="562" t="s">
        <v>67</v>
      </c>
      <c r="I12" s="561"/>
      <c r="J12" s="564"/>
      <c r="K12" s="565">
        <f>Assumptions!K191</f>
        <v>881.91452991452991</v>
      </c>
      <c r="L12" s="566">
        <v>338042.73504273506</v>
      </c>
      <c r="M12" s="567">
        <v>10598.2051282051</v>
      </c>
      <c r="N12" s="573">
        <f>L12/M12</f>
        <v>31.896224969556293</v>
      </c>
      <c r="O12" s="568">
        <f>Summary!L29</f>
        <v>0.20046777609248712</v>
      </c>
      <c r="P12" s="569">
        <f>Summary!M29</f>
        <v>0.1314485788097004</v>
      </c>
      <c r="Q12" s="570">
        <v>24.06</v>
      </c>
      <c r="R12" s="574">
        <f>K12/Q12</f>
        <v>36.654801742083542</v>
      </c>
      <c r="S12" s="571">
        <v>34.01</v>
      </c>
    </row>
    <row r="13" spans="1:19">
      <c r="B13" s="266" t="s">
        <v>271</v>
      </c>
      <c r="C13" s="266"/>
      <c r="E13" s="266" t="s">
        <v>275</v>
      </c>
      <c r="H13" s="291" t="s">
        <v>333</v>
      </c>
      <c r="I13" s="255"/>
      <c r="J13" s="244"/>
      <c r="K13" s="537">
        <f>217.53/G6</f>
        <v>185.92307692307693</v>
      </c>
      <c r="L13" s="538">
        <f>177870/G6</f>
        <v>152025.64102564103</v>
      </c>
      <c r="M13" s="535">
        <f>9594/G6</f>
        <v>8200</v>
      </c>
      <c r="N13" s="324">
        <f>L13/M13</f>
        <v>18.539712320200124</v>
      </c>
      <c r="O13" s="531">
        <v>8.2000000000000003E-2</v>
      </c>
      <c r="P13" s="532">
        <v>3.1E-2</v>
      </c>
      <c r="Q13" s="529">
        <f>8.38/G6</f>
        <v>7.1623931623931636</v>
      </c>
      <c r="R13" s="328">
        <f>K13/Q13</f>
        <v>25.958233890214796</v>
      </c>
      <c r="S13" s="527">
        <v>22.94</v>
      </c>
    </row>
    <row r="14" spans="1:19">
      <c r="B14" s="266" t="s">
        <v>272</v>
      </c>
      <c r="C14" s="266"/>
      <c r="E14" s="266" t="s">
        <v>275</v>
      </c>
      <c r="H14" s="291" t="s">
        <v>334</v>
      </c>
      <c r="I14" s="255"/>
      <c r="J14" s="244"/>
      <c r="K14" s="537">
        <f>145.81/G6</f>
        <v>124.62393162393164</v>
      </c>
      <c r="L14" s="538">
        <f>183450/G6</f>
        <v>156794.87179487181</v>
      </c>
      <c r="M14" s="535">
        <f>6522.609/G6</f>
        <v>5574.879487179488</v>
      </c>
      <c r="N14" s="324">
        <f t="shared" ref="N14:N16" si="0">L14/M14</f>
        <v>28.125248654334484</v>
      </c>
      <c r="O14" s="531">
        <v>0.3</v>
      </c>
      <c r="P14" s="532">
        <v>9.8799999999999999E-2</v>
      </c>
      <c r="Q14" s="529">
        <f>4.15/G6</f>
        <v>3.5470085470085477</v>
      </c>
      <c r="R14" s="328">
        <f t="shared" ref="R14:R16" si="1">K14/Q14</f>
        <v>35.134939759036143</v>
      </c>
      <c r="S14" s="527">
        <v>32.89</v>
      </c>
    </row>
    <row r="15" spans="1:19">
      <c r="B15" s="266" t="s">
        <v>273</v>
      </c>
      <c r="C15" s="266"/>
      <c r="E15" s="266" t="s">
        <v>275</v>
      </c>
      <c r="H15" s="291" t="s">
        <v>335</v>
      </c>
      <c r="I15" s="255"/>
      <c r="J15" s="244"/>
      <c r="K15" s="537">
        <f>1101.55/G6</f>
        <v>941.49572649572656</v>
      </c>
      <c r="L15" s="538">
        <f>151620/G6</f>
        <v>129589.74358974359</v>
      </c>
      <c r="M15" s="535">
        <f>5340.702/G6</f>
        <v>4564.7025641025648</v>
      </c>
      <c r="N15" s="324">
        <f t="shared" si="0"/>
        <v>28.389526320697165</v>
      </c>
      <c r="O15" s="531">
        <v>0.31</v>
      </c>
      <c r="P15" s="532">
        <v>4.2000000000000003E-2</v>
      </c>
      <c r="Q15" s="529">
        <f>30.37/G6</f>
        <v>25.957264957264961</v>
      </c>
      <c r="R15" s="328">
        <f t="shared" si="1"/>
        <v>36.270991109647674</v>
      </c>
      <c r="S15" s="527">
        <v>32.049999999999997</v>
      </c>
    </row>
    <row r="16" spans="1:19" ht="19">
      <c r="B16" s="541" t="s">
        <v>532</v>
      </c>
      <c r="C16" s="301"/>
      <c r="D16" s="296"/>
      <c r="E16" s="301" t="s">
        <v>276</v>
      </c>
      <c r="F16" s="296"/>
      <c r="G16" s="296"/>
      <c r="H16" s="302" t="s">
        <v>345</v>
      </c>
      <c r="I16" s="303"/>
      <c r="J16" s="304"/>
      <c r="K16" s="539">
        <f>28490/G7</f>
        <v>164.58694396302715</v>
      </c>
      <c r="L16" s="540">
        <f>84220/G6</f>
        <v>71982.905982905984</v>
      </c>
      <c r="M16" s="536">
        <f>759585/G7</f>
        <v>4388.1282495667247</v>
      </c>
      <c r="N16" s="325">
        <f t="shared" si="0"/>
        <v>16.404011434718992</v>
      </c>
      <c r="O16" s="533">
        <v>0.49299999999999999</v>
      </c>
      <c r="P16" s="534">
        <v>-7.9000000000000001E-2</v>
      </c>
      <c r="Q16" s="530">
        <f>(589.54*2)/G7</f>
        <v>6.811554015020219</v>
      </c>
      <c r="R16" s="332">
        <f t="shared" si="1"/>
        <v>24.162906672999291</v>
      </c>
      <c r="S16" s="528">
        <v>28.99</v>
      </c>
    </row>
    <row r="17" spans="2:19">
      <c r="B17" s="266"/>
      <c r="C17" s="266"/>
      <c r="E17" s="266"/>
      <c r="I17" s="255"/>
      <c r="J17" s="244"/>
      <c r="K17" s="244"/>
      <c r="L17" s="250"/>
      <c r="M17" s="49"/>
      <c r="N17" s="49"/>
      <c r="O17" s="268"/>
      <c r="P17" s="215"/>
    </row>
    <row r="18" spans="2:19">
      <c r="B18" s="1"/>
      <c r="C18" s="1"/>
      <c r="D18" s="1"/>
      <c r="E18" s="1"/>
      <c r="I18" s="1"/>
      <c r="J18" s="1"/>
      <c r="K18" s="1"/>
      <c r="L18" s="1"/>
      <c r="M18" s="1"/>
      <c r="N18" s="1"/>
      <c r="O18" s="1"/>
      <c r="P18" s="1"/>
    </row>
    <row r="19" spans="2:19">
      <c r="B19" s="3"/>
      <c r="C19" s="1"/>
      <c r="D19" s="1"/>
      <c r="E19" s="1"/>
      <c r="I19" s="3"/>
      <c r="J19" s="53"/>
      <c r="K19" s="58" t="s">
        <v>331</v>
      </c>
      <c r="L19" s="334" t="s">
        <v>349</v>
      </c>
      <c r="M19" s="293"/>
      <c r="N19" s="308" t="s">
        <v>338</v>
      </c>
      <c r="O19" s="312"/>
      <c r="P19" s="313"/>
      <c r="Q19" s="494" t="s">
        <v>480</v>
      </c>
      <c r="R19" s="430" t="s">
        <v>481</v>
      </c>
    </row>
    <row r="20" spans="2:19" ht="17">
      <c r="B20" s="294" t="s">
        <v>346</v>
      </c>
      <c r="C20" s="295"/>
      <c r="D20" s="295"/>
      <c r="E20" s="295"/>
      <c r="F20" s="295"/>
      <c r="G20" s="295"/>
      <c r="H20" s="295"/>
      <c r="I20" s="295"/>
      <c r="J20" s="333"/>
      <c r="K20" s="493" t="s">
        <v>332</v>
      </c>
      <c r="L20" s="305" t="s">
        <v>337</v>
      </c>
      <c r="M20" s="299" t="s">
        <v>1</v>
      </c>
      <c r="N20" s="309" t="s">
        <v>1</v>
      </c>
      <c r="O20" s="300" t="s">
        <v>339</v>
      </c>
      <c r="P20" s="311"/>
      <c r="Q20" s="299" t="s">
        <v>268</v>
      </c>
      <c r="R20" s="299" t="s">
        <v>482</v>
      </c>
    </row>
    <row r="21" spans="2:19">
      <c r="B21" s="1"/>
      <c r="D21" s="1"/>
      <c r="E21" s="1"/>
      <c r="F21" s="1"/>
      <c r="G21" s="1"/>
      <c r="I21" s="1"/>
      <c r="K21" s="315" t="s">
        <v>323</v>
      </c>
      <c r="L21" s="310"/>
      <c r="M21" s="318" t="s">
        <v>342</v>
      </c>
      <c r="N21" s="318" t="s">
        <v>342</v>
      </c>
      <c r="O21" s="319" t="s">
        <v>343</v>
      </c>
      <c r="P21" s="320" t="s">
        <v>344</v>
      </c>
      <c r="Q21" s="319" t="s">
        <v>455</v>
      </c>
      <c r="R21" s="495" t="s">
        <v>456</v>
      </c>
    </row>
    <row r="22" spans="2:19">
      <c r="L22" s="310"/>
      <c r="N22" s="310"/>
      <c r="P22" s="310"/>
    </row>
    <row r="23" spans="2:19">
      <c r="B23" t="s">
        <v>269</v>
      </c>
      <c r="K23" s="498">
        <f>(L23-Q23)/R23</f>
        <v>636.62000187657384</v>
      </c>
      <c r="L23" s="326">
        <f>PRODUCT(M23:N23)</f>
        <v>242323.98256442597</v>
      </c>
      <c r="M23" s="572">
        <v>10598.2051282051</v>
      </c>
      <c r="N23" s="324">
        <f t="shared" ref="N23:P23" si="2">AVERAGE(N13:N16)</f>
        <v>22.864624682487694</v>
      </c>
      <c r="O23" s="335">
        <f t="shared" si="2"/>
        <v>0.29625000000000001</v>
      </c>
      <c r="P23" s="336">
        <f t="shared" si="2"/>
        <v>2.3200000000000002E-2</v>
      </c>
      <c r="Q23" s="496">
        <f>Summary!$P$112</f>
        <v>-8048.2999999999993</v>
      </c>
      <c r="R23" s="497">
        <f>Summary!$P$113</f>
        <v>393.28372000000002</v>
      </c>
    </row>
    <row r="24" spans="2:19">
      <c r="B24" t="s">
        <v>270</v>
      </c>
      <c r="H24" s="523"/>
      <c r="K24" s="498">
        <f t="shared" ref="K24:K26" si="3">(L24-Q24)/R24</f>
        <v>649.22777468109223</v>
      </c>
      <c r="L24" s="326">
        <f t="shared" ref="L24:L26" si="4">PRODUCT(M24:N24)</f>
        <v>247282.41435390178</v>
      </c>
      <c r="M24" s="572">
        <v>10598.2051282051</v>
      </c>
      <c r="N24" s="324">
        <f t="shared" ref="N24:P24" si="5">MEDIAN(N13:N16)</f>
        <v>23.332480487267304</v>
      </c>
      <c r="O24" s="335">
        <f t="shared" si="5"/>
        <v>0.30499999999999999</v>
      </c>
      <c r="P24" s="336">
        <f t="shared" si="5"/>
        <v>3.6500000000000005E-2</v>
      </c>
      <c r="Q24" s="496">
        <f>Summary!$P$112</f>
        <v>-8048.2999999999993</v>
      </c>
      <c r="R24" s="497">
        <f>Summary!$P$113</f>
        <v>393.28372000000002</v>
      </c>
    </row>
    <row r="25" spans="2:19" ht="15" customHeight="1">
      <c r="B25" t="s">
        <v>347</v>
      </c>
      <c r="H25" s="526"/>
      <c r="K25" s="498">
        <f t="shared" si="3"/>
        <v>785.50498718667097</v>
      </c>
      <c r="L25" s="326">
        <f t="shared" si="4"/>
        <v>300878.02343932632</v>
      </c>
      <c r="M25" s="572">
        <v>10598.2051282051</v>
      </c>
      <c r="N25" s="324">
        <f t="shared" ref="N25:P25" si="6">MAX(N13:N16)</f>
        <v>28.389526320697165</v>
      </c>
      <c r="O25" s="335">
        <f t="shared" si="6"/>
        <v>0.49299999999999999</v>
      </c>
      <c r="P25" s="336">
        <f t="shared" si="6"/>
        <v>9.8799999999999999E-2</v>
      </c>
      <c r="Q25" s="496">
        <f>Summary!$P$112</f>
        <v>-8048.2999999999993</v>
      </c>
      <c r="R25" s="497">
        <f>Summary!$P$113</f>
        <v>393.28372000000002</v>
      </c>
    </row>
    <row r="26" spans="2:19">
      <c r="B26" t="s">
        <v>348</v>
      </c>
      <c r="K26" s="498">
        <f t="shared" si="3"/>
        <v>462.51947095743986</v>
      </c>
      <c r="L26" s="326">
        <f t="shared" si="4"/>
        <v>173853.07811057393</v>
      </c>
      <c r="M26" s="572">
        <v>10598.2051282051</v>
      </c>
      <c r="N26" s="324">
        <f t="shared" ref="N26:P26" si="7">MIN(N13:N16)</f>
        <v>16.404011434718992</v>
      </c>
      <c r="O26" s="335">
        <f t="shared" si="7"/>
        <v>8.2000000000000003E-2</v>
      </c>
      <c r="P26" s="336">
        <f t="shared" si="7"/>
        <v>-7.9000000000000001E-2</v>
      </c>
      <c r="Q26" s="496">
        <f>Summary!$P$112</f>
        <v>-8048.2999999999993</v>
      </c>
      <c r="R26" s="497">
        <f>Summary!$P$113</f>
        <v>393.28372000000002</v>
      </c>
    </row>
    <row r="28" spans="2:19">
      <c r="S28" s="338" t="s">
        <v>521</v>
      </c>
    </row>
    <row r="29" spans="2:19">
      <c r="M29" s="523"/>
      <c r="S29" s="339" t="s">
        <v>533</v>
      </c>
    </row>
    <row r="30" spans="2:19">
      <c r="S30" s="340"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Summary</vt:lpstr>
      <vt:lpstr>Assumptions</vt:lpstr>
      <vt:lpstr>Model</vt:lpstr>
      <vt:lpstr>Comps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Říha</dc:creator>
  <cp:lastModifiedBy>Jakub Říha</cp:lastModifiedBy>
  <dcterms:created xsi:type="dcterms:W3CDTF">2025-09-11T15:42:25Z</dcterms:created>
  <dcterms:modified xsi:type="dcterms:W3CDTF">2025-10-05T21:52:24Z</dcterms:modified>
</cp:coreProperties>
</file>