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jakubriha/Desktop/"/>
    </mc:Choice>
  </mc:AlternateContent>
  <xr:revisionPtr revIDLastSave="0" documentId="13_ncr:1_{2D074F43-3937-E348-8522-F139C74B6852}" xr6:coauthVersionLast="47" xr6:coauthVersionMax="47" xr10:uidLastSave="{00000000-0000-0000-0000-000000000000}"/>
  <bookViews>
    <workbookView xWindow="20" yWindow="500" windowWidth="28800" windowHeight="16140" activeTab="1" xr2:uid="{69147775-0DF4-A941-AE5B-8DBE6A805762}"/>
  </bookViews>
  <sheets>
    <sheet name="Assumptions" sheetId="6" r:id="rId1"/>
    <sheet name="CDF" sheetId="2" r:id="rId2"/>
    <sheet name="Income Statement" sheetId="4" r:id="rId3"/>
    <sheet name="Cashflow" sheetId="5" r:id="rId4"/>
  </sheets>
  <externalReferences>
    <externalReference r:id="rId5"/>
    <externalReference r:id="rId6"/>
    <externalReference r:id="rId7"/>
    <externalReference r:id="rId8"/>
    <externalReference r:id="rId9"/>
    <externalReference r:id="rId10"/>
  </externalReferences>
  <definedNames>
    <definedName name="_Col1" localSheetId="3">#REF!</definedName>
    <definedName name="_Col1" localSheetId="2">#REF!</definedName>
    <definedName name="_Col2" localSheetId="3">#REF!</definedName>
    <definedName name="_Col2" localSheetId="2">#REF!</definedName>
    <definedName name="A" localSheetId="3">#REF!</definedName>
    <definedName name="A" localSheetId="2">#REF!</definedName>
    <definedName name="Adj" localSheetId="3">'[1]Revsum - trend'!#REF!</definedName>
    <definedName name="Adj" localSheetId="2">'[1]Revsum - trend'!#REF!</definedName>
    <definedName name="Adjustments" localSheetId="3">'[1]Revsum - trend'!#REF!</definedName>
    <definedName name="Adjustments" localSheetId="2">'[1]Revsum - trend'!#REF!</definedName>
    <definedName name="AdjustmentsQ" localSheetId="3">#REF!</definedName>
    <definedName name="AdjustmentsQ" localSheetId="2">#REF!</definedName>
    <definedName name="Area" localSheetId="3">'[1]Revsum - trend'!#REF!</definedName>
    <definedName name="Area" localSheetId="2">'[1]Revsum - trend'!#REF!</definedName>
    <definedName name="AreaQ" localSheetId="3">#REF!</definedName>
    <definedName name="AreaQ" localSheetId="2">#REF!</definedName>
    <definedName name="AS2DocOpenMode" hidden="1">"AS2DocumentEdit"</definedName>
    <definedName name="AuditLI" localSheetId="2">#REF!</definedName>
    <definedName name="AuditSP" localSheetId="2">#REF!</definedName>
    <definedName name="BAKER" localSheetId="3">'[2]May 96'!#REF!</definedName>
    <definedName name="BAKER" localSheetId="2">'[2]May 96'!#REF!</definedName>
    <definedName name="BAL" localSheetId="3">'[2]May 96'!#REF!</definedName>
    <definedName name="BAL" localSheetId="2">'[2]May 96'!#REF!</definedName>
    <definedName name="BalSheet" localSheetId="3" hidden="1">{"closed",#N/A,FALSE,"Consolidated Products - Budget";"expanded",#N/A,FALSE,"Consolidated Products - Budget"}</definedName>
    <definedName name="BalSheet" localSheetId="2" hidden="1">{"closed",#N/A,FALSE,"Consolidated Products - Budget";"expanded",#N/A,FALSE,"Consolidated Products - Budget"}</definedName>
    <definedName name="BalSheet" hidden="1">{"closed",#N/A,FALSE,"Consolidated Products - Budget";"expanded",#N/A,FALSE,"Consolidated Products - Budget"}</definedName>
    <definedName name="BS" localSheetId="3" hidden="1">{"closed",#N/A,FALSE,"Consolidated Products - Budget";"expanded",#N/A,FALSE,"Consolidated Products - Budget"}</definedName>
    <definedName name="BS" localSheetId="2" hidden="1">{"closed",#N/A,FALSE,"Consolidated Products - Budget";"expanded",#N/A,FALSE,"Consolidated Products - Budget"}</definedName>
    <definedName name="BS" hidden="1">{"closed",#N/A,FALSE,"Consolidated Products - Budget";"expanded",#N/A,FALSE,"Consolidated Products - Budget"}</definedName>
    <definedName name="BusinessName" localSheetId="3">'[1]Revsum - trend'!#REF!</definedName>
    <definedName name="BusinessName" localSheetId="2">'[1]Revsum - trend'!#REF!</definedName>
    <definedName name="BusinessNameQ" localSheetId="2">#REF!</definedName>
    <definedName name="BusinessSummaryName" localSheetId="3">'[1]Revsum - trend'!#REF!</definedName>
    <definedName name="BusinessSummaryName" localSheetId="2">'[1]Revsum - trend'!#REF!</definedName>
    <definedName name="BusinessSummaryNameQ" localSheetId="2">#REF!</definedName>
    <definedName name="BusSysEA" localSheetId="3">MATCH("Business Systems Enterprise Agreements", Cashflow!Categories,0)</definedName>
    <definedName name="BusSysEA" localSheetId="2">MATCH("Business Systems Enterprise Agreements", 'Income Statement'!Categories,0)</definedName>
    <definedName name="BusSysEA">MATCH("Business Systems Enterprise Agreements", [0]!Categories,0)</definedName>
    <definedName name="BusSysEALookup" localSheetId="3">OFFSET('[1]Revsum - trend'!#REF!,Cashflow!BusSysEA,1,Cashflow!BusSysEATotal-Cashflow!BusSysEA,1)</definedName>
    <definedName name="BusSysEALookup" localSheetId="2">OFFSET('[1]Revsum - trend'!#REF!,'Income Statement'!BusSysEA,1,'Income Statement'!BusSysEATotal-'Income Statement'!BusSysEA,1)</definedName>
    <definedName name="BusSysEATotal" localSheetId="3">MATCH("Business Systems Enterprise Agreements *", Cashflow!Categories,0)</definedName>
    <definedName name="BusSysEATotal" localSheetId="2">MATCH("Business Systems Enterprise Agreements *", 'Income Statement'!Categories,0)</definedName>
    <definedName name="carter" localSheetId="3">'[2]May 96'!#REF!</definedName>
    <definedName name="carter" localSheetId="2">'[2]May 96'!#REF!</definedName>
    <definedName name="Cash" localSheetId="3" hidden="1">{"closed",#N/A,FALSE,"Consolidated Products - Budget";"expanded",#N/A,FALSE,"Consolidated Products - Budget"}</definedName>
    <definedName name="Cash" localSheetId="2" hidden="1">{"closed",#N/A,FALSE,"Consolidated Products - Budget";"expanded",#N/A,FALSE,"Consolidated Products - Budget"}</definedName>
    <definedName name="Cash" hidden="1">{"closed",#N/A,FALSE,"Consolidated Products - Budget";"expanded",#N/A,FALSE,"Consolidated Products - Budget"}</definedName>
    <definedName name="Categories" localSheetId="3">'[1]Revsum - trend'!#REF!</definedName>
    <definedName name="Categories" localSheetId="2">'[1]Revsum - trend'!#REF!</definedName>
    <definedName name="Categories">'[1]Revsum - trend'!#REF!</definedName>
    <definedName name="Channel" localSheetId="3">'[1]Revsum - trend'!#REF!</definedName>
    <definedName name="Channel" localSheetId="2">'[1]Revsum - trend'!#REF!</definedName>
    <definedName name="ChannelAggregate" localSheetId="3">'[1]Revsum - trend'!#REF!</definedName>
    <definedName name="ChannelAggregate" localSheetId="2">'[1]Revsum - trend'!#REF!</definedName>
    <definedName name="ChannelAggregateQ" localSheetId="2">#REF!</definedName>
    <definedName name="ChannelQ" localSheetId="2">#REF!</definedName>
    <definedName name="Columns" localSheetId="3">'[3]Data Sheet'!$F$1:$F$65536,'[3]Data Sheet'!$H$1:$H$65536,'[3]Data Sheet'!$J$1:$J$65536,'[3]Data Sheet'!$L$1:$L$65536,'[3]Data Sheet'!#REF!,'[3]Data Sheet'!#REF!,'[3]Data Sheet'!#REF!,'[3]Data Sheet'!#REF!,'[3]Data Sheet'!#REF!,'[3]Data Sheet'!#REF!,'[3]Data Sheet'!#REF!,'[3]Data Sheet'!#REF!,'[3]Data Sheet'!#REF!,'[3]Data Sheet'!#REF!,'[3]Data Sheet'!#REF!,'[3]Data Sheet'!$N$1:$N$65536,'[3]Data Sheet'!$P$1:$P$65536,'[3]Data Sheet'!$R$1:$R$65536,'[3]Data Sheet'!$T$1:$T$65536,'[3]Data Sheet'!$V$1:$V$65536,'[3]Data Sheet'!$X$1:$X$65536,'[3]Data Sheet'!$Z$1:$Z$65536,'[3]Data Sheet'!$AB$1:$AB$65536,'[3]Data Sheet'!$AD$1:$AD$65536,'[3]Data Sheet'!$AF$1:$AF$65536,'[3]Data Sheet'!$AH$1:$AH$65536,'[3]Data Sheet'!$AJ$1:$AJ$65536,'[3]Data Sheet'!$AJ$1:$AJ$65536</definedName>
    <definedName name="Columns" localSheetId="2">'[3]Data Sheet'!$F$1:$F$65536,'[3]Data Sheet'!$H$1:$H$65536,'[3]Data Sheet'!$J$1:$J$65536,'[3]Data Sheet'!$L$1:$L$65536,'[3]Data Sheet'!#REF!,'[3]Data Sheet'!#REF!,'[3]Data Sheet'!#REF!,'[3]Data Sheet'!#REF!,'[3]Data Sheet'!#REF!,'[3]Data Sheet'!#REF!,'[3]Data Sheet'!#REF!,'[3]Data Sheet'!#REF!,'[3]Data Sheet'!#REF!,'[3]Data Sheet'!#REF!,'[3]Data Sheet'!#REF!,'[3]Data Sheet'!$N$1:$N$65536,'[3]Data Sheet'!$P$1:$P$65536,'[3]Data Sheet'!$R$1:$R$65536,'[3]Data Sheet'!$T$1:$T$65536,'[3]Data Sheet'!$V$1:$V$65536,'[3]Data Sheet'!$X$1:$X$65536,'[3]Data Sheet'!$Z$1:$Z$65536,'[3]Data Sheet'!$AB$1:$AB$65536,'[3]Data Sheet'!$AD$1:$AD$65536,'[3]Data Sheet'!$AF$1:$AF$65536,'[3]Data Sheet'!$AH$1:$AH$65536,'[3]Data Sheet'!$AJ$1:$AJ$65536,'[3]Data Sheet'!$AJ$1:$AJ$65536</definedName>
    <definedName name="ConstantDollars" localSheetId="3">'[1]Revsum - trend'!#REF!</definedName>
    <definedName name="ConstantDollars" localSheetId="2">'[1]Revsum - trend'!#REF!</definedName>
    <definedName name="CurrencyType" localSheetId="3">'[1]Revsum - trend'!#REF!</definedName>
    <definedName name="CurrencyType" localSheetId="2">'[1]Revsum - trend'!#REF!</definedName>
    <definedName name="Divisions" localSheetId="3">OFFSET([4]!Categories,0,-1)</definedName>
    <definedName name="Divisions" localSheetId="2">OFFSET([4]!Categories,0,-1)</definedName>
    <definedName name="FiscalPeriod" localSheetId="3">'[1]Revsum - trend'!#REF!</definedName>
    <definedName name="FiscalPeriod" localSheetId="2">'[1]Revsum - trend'!#REF!</definedName>
    <definedName name="FY00OthAvg" localSheetId="3">#REF!</definedName>
    <definedName name="FY00OthAvg" localSheetId="2">#REF!</definedName>
    <definedName name="FY00RegAvg" localSheetId="3">#REF!</definedName>
    <definedName name="FY00RegAvg" localSheetId="2">#REF!</definedName>
    <definedName name="FY01OthAvg" localSheetId="2">#REF!</definedName>
    <definedName name="FY01RegAvg" localSheetId="2">#REF!</definedName>
    <definedName name="gaudette" localSheetId="3">'[2]May 96'!#REF!</definedName>
    <definedName name="gaudette" localSheetId="2">'[2]May 96'!#REF!</definedName>
    <definedName name="Greetings" localSheetId="3">MATCH("Grtgs WS, PictureIt, Other DAD", Cashflow!Categories,0)</definedName>
    <definedName name="Greetings" localSheetId="2">MATCH("Grtgs WS, PictureIt, Other DAD", 'Income Statement'!Categories,0)</definedName>
    <definedName name="Greetings">MATCH("Grtgs WS, PictureIt, Other DAD", [0]!Categories,0)</definedName>
    <definedName name="GreetingsLookup" localSheetId="3">OFFSET('[1]Revsum - trend'!#REF!,Cashflow!Greetings,1,Cashflow!GreetingsTotal-Cashflow!Greetings,1)</definedName>
    <definedName name="GreetingsLookup" localSheetId="2">OFFSET('[1]Revsum - trend'!#REF!,'Income Statement'!Greetings,1,'Income Statement'!GreetingsTotal-'Income Statement'!Greetings,1)</definedName>
    <definedName name="GreetingsTotal" localSheetId="3">MATCH("Grtgs WS, PictureIt, Other DAD *", Cashflow!Categories,0)</definedName>
    <definedName name="GreetingsTotal" localSheetId="2">MATCH("Grtgs WS, PictureIt, Other DAD *", 'Income Statement'!Categories,0)</definedName>
    <definedName name="hansen" localSheetId="3">'[2]May 96'!#REF!</definedName>
    <definedName name="hansen" localSheetId="2">'[2]May 96'!#REF!</definedName>
    <definedName name="hanson" localSheetId="3">'[2]May 96'!#REF!</definedName>
    <definedName name="hanson" localSheetId="2">'[2]May 96'!#REF!</definedName>
    <definedName name="heading" localSheetId="3">#REF!</definedName>
    <definedName name="heading" localSheetId="2">#REF!</definedName>
    <definedName name="INTEREST" localSheetId="3">'[2]May 96'!#REF!</definedName>
    <definedName name="INTEREST" localSheetId="2">'[2]May 96'!#REF!</definedName>
    <definedName name="JAW" localSheetId="3">'[2]May 96'!#REF!</definedName>
    <definedName name="JAW" localSheetId="2">'[2]May 96'!#REF!</definedName>
    <definedName name="JAWORSKI" localSheetId="3">'[2]May 96'!#REF!</definedName>
    <definedName name="JAWORSKI" localSheetId="2">'[2]May 96'!#REF!</definedName>
    <definedName name="JustifyColumn" localSheetId="3">'[3]Data Sheet'!#REF!</definedName>
    <definedName name="JustifyColumn" localSheetId="2">'[3]Data Sheet'!#REF!</definedName>
    <definedName name="LastPivotRow" localSheetId="3">COUNTA([4]!SalesLocations)+ROW([4]!PTtop)-1</definedName>
    <definedName name="LastPivotRow" localSheetId="2">COUNTA([4]!SalesLocations)+ROW([4]!PTtop)-1</definedName>
    <definedName name="LI" localSheetId="3">#REF!</definedName>
    <definedName name="LI" localSheetId="2">#REF!</definedName>
    <definedName name="LOAN" localSheetId="3">'[2]May 96'!#REF!</definedName>
    <definedName name="LOAN" localSheetId="2">'[2]May 96'!#REF!</definedName>
    <definedName name="LOAN.DAN" localSheetId="3">'[2]May 96'!#REF!</definedName>
    <definedName name="LOAN.DAN" localSheetId="2">'[2]May 96'!#REF!</definedName>
    <definedName name="LOAN.FRANK" localSheetId="3">'[2]May 96'!#REF!</definedName>
    <definedName name="LOAN.FRANK" localSheetId="2">'[2]May 96'!#REF!</definedName>
    <definedName name="LOAN.HANSEN" localSheetId="3">'[2]May 96'!#REF!</definedName>
    <definedName name="LOAN.HANSEN" localSheetId="2">'[2]May 96'!#REF!</definedName>
    <definedName name="LOAN.HANSON" localSheetId="3">'[2]May 96'!#REF!</definedName>
    <definedName name="LOAN.HANSON" localSheetId="2">'[2]May 96'!#REF!</definedName>
    <definedName name="macintosh" localSheetId="3">'[2]May 96'!#REF!</definedName>
    <definedName name="macintosh" localSheetId="2">'[2]May 96'!#REF!</definedName>
    <definedName name="MBV" localSheetId="3" hidden="1">{"closed",#N/A,FALSE,"Consolidated Products - Budget";"expanded",#N/A,FALSE,"Consolidated Products - Budget"}</definedName>
    <definedName name="MBV" localSheetId="2" hidden="1">{"closed",#N/A,FALSE,"Consolidated Products - Budget";"expanded",#N/A,FALSE,"Consolidated Products - Budget"}</definedName>
    <definedName name="MBV" hidden="1">{"closed",#N/A,FALSE,"Consolidated Products - Budget";"expanded",#N/A,FALSE,"Consolidated Products - Budget"}</definedName>
    <definedName name="MITCHELL" localSheetId="3">'[2]May 96'!#REF!</definedName>
    <definedName name="MITCHELL" localSheetId="2">'[2]May 96'!#REF!</definedName>
    <definedName name="mntrange" localSheetId="3">'[1]Revsum - trend'!#REF!</definedName>
    <definedName name="mntrange" localSheetId="2">'[1]Revsum - trend'!#REF!</definedName>
    <definedName name="Months" localSheetId="3">{"January","February","March","April","May","June","July","August","September","October","November","December"}</definedName>
    <definedName name="Months" localSheetId="2">{"January","February","March","April","May","June","July","August","September","October","November","December"}</definedName>
    <definedName name="MYHRVOLD" localSheetId="3">'[2]May 96'!#REF!</definedName>
    <definedName name="MYHRVOLD" localSheetId="2">'[2]May 96'!#REF!</definedName>
    <definedName name="oki" localSheetId="3">'[2]May 96'!#REF!</definedName>
    <definedName name="oki" localSheetId="2">'[2]May 96'!#REF!</definedName>
    <definedName name="OLDBAL" localSheetId="3">'[2]May 96'!#REF!</definedName>
    <definedName name="OLDBAL" localSheetId="2">'[2]May 96'!#REF!</definedName>
    <definedName name="PAID.INT" localSheetId="3">'[2]May 96'!#REF!</definedName>
    <definedName name="PAID.INT" localSheetId="2">'[2]May 96'!#REF!</definedName>
    <definedName name="PAID.PRN" localSheetId="3">'[2]May 96'!#REF!</definedName>
    <definedName name="PAID.PRN" localSheetId="2">'[2]May 96'!#REF!</definedName>
    <definedName name="PFamily" localSheetId="3">'[1]Revsum - trend'!#REF!</definedName>
    <definedName name="PFamily" localSheetId="2">'[1]Revsum - trend'!#REF!</definedName>
    <definedName name="Pivot2" localSheetId="3" hidden="1">{"closed",#N/A,FALSE,"Consolidated Products - Budget";"expanded",#N/A,FALSE,"Consolidated Products - Budget"}</definedName>
    <definedName name="Pivot2" localSheetId="2" hidden="1">{"closed",#N/A,FALSE,"Consolidated Products - Budget";"expanded",#N/A,FALSE,"Consolidated Products - Budget"}</definedName>
    <definedName name="Pivot2" hidden="1">{"closed",#N/A,FALSE,"Consolidated Products - Budget";"expanded",#N/A,FALSE,"Consolidated Products - Budget"}</definedName>
    <definedName name="PivotRows" localSheetId="3">COUNT(OFFSET(Cashflow!PivotTop,1,2,250))</definedName>
    <definedName name="PivotRows" localSheetId="2">COUNT(OFFSET('Income Statement'!PivotTop,1,2,250))</definedName>
    <definedName name="PivotTable5.doc" localSheetId="3" hidden="1">#REF!</definedName>
    <definedName name="PivotTable5.doc" localSheetId="2" hidden="1">#REF!</definedName>
    <definedName name="PivotTable5.doc" hidden="1">#REF!</definedName>
    <definedName name="PivotTable8.doc" localSheetId="3" hidden="1">#REF!</definedName>
    <definedName name="PivotTable8.doc" localSheetId="2" hidden="1">#REF!</definedName>
    <definedName name="PivotTable8.doc" hidden="1">#REF!</definedName>
    <definedName name="PivotTop" localSheetId="3">'[1]Revsum - trend'!#REF!</definedName>
    <definedName name="PivotTop" localSheetId="2">'[1]Revsum - trend'!#REF!</definedName>
    <definedName name="_xlnm.Print_Area" localSheetId="3">Cashflow!$A$1:$X$54</definedName>
    <definedName name="_xlnm.Print_Area" localSheetId="2">'Income Statement'!$A$1:$U$28</definedName>
    <definedName name="_xlnm.Print_Titles" localSheetId="3">#REF!,#REF!</definedName>
    <definedName name="_xlnm.Print_Titles" localSheetId="2">#REF!,#REF!</definedName>
    <definedName name="Product_Pricing" localSheetId="3">[5]Data!#REF!</definedName>
    <definedName name="Product_Pricing" localSheetId="2">[5]Data!#REF!</definedName>
    <definedName name="RecordType" localSheetId="3">'[1]Revsum - trend'!#REF!</definedName>
    <definedName name="RecordType" localSheetId="2">'[1]Revsum - trend'!#REF!</definedName>
    <definedName name="RecordTypeQ" localSheetId="2">#REF!</definedName>
    <definedName name="Region" localSheetId="3">'[1]Revsum - trend'!#REF!</definedName>
    <definedName name="Region" localSheetId="2">'[1]Revsum - trend'!#REF!</definedName>
    <definedName name="RegionQ" localSheetId="2">#REF!</definedName>
    <definedName name="REMALA" localSheetId="3">'[2]May 96'!#REF!</definedName>
    <definedName name="REMALA" localSheetId="2">'[2]May 96'!#REF!</definedName>
    <definedName name="ROEMSel" localSheetId="2">#REF!</definedName>
    <definedName name="SalesLocation" localSheetId="3">'[1]Revsum - trend'!#REF!</definedName>
    <definedName name="SalesLocation" localSheetId="2">'[1]Revsum - trend'!#REF!</definedName>
    <definedName name="SalesLocationQ" localSheetId="2">#REF!</definedName>
    <definedName name="SalesLocations" localSheetId="3">[4]!PTtop:'[6]BySub'!$A$97</definedName>
    <definedName name="SalesLocations" localSheetId="2">[4]!PTtop:'[6]BySub'!$A$97</definedName>
    <definedName name="SP" localSheetId="3">#REF!</definedName>
    <definedName name="SP" localSheetId="2">#REF!</definedName>
    <definedName name="SpaceBetweenColumns" localSheetId="3">'[3]Data Sheet'!$G$1:$G$65536,'[3]Data Sheet'!$I$1:$I$65536,'[3]Data Sheet'!$K$1:$K$65536,'[3]Data Sheet'!$M$1:$M$65536,'[3]Data Sheet'!#REF!,'[3]Data Sheet'!#REF!,'[3]Data Sheet'!#REF!,'[3]Data Sheet'!#REF!,'[3]Data Sheet'!#REF!,'[3]Data Sheet'!#REF!,'[3]Data Sheet'!#REF!,'[3]Data Sheet'!#REF!,'[3]Data Sheet'!#REF!,'[3]Data Sheet'!#REF!,'[3]Data Sheet'!#REF!,'[3]Data Sheet'!$O$1:$O$65536,'[3]Data Sheet'!$Q$1:$Q$65536,'[3]Data Sheet'!$S$1:$S$65536,'[3]Data Sheet'!$U$1:$U$65536,'[3]Data Sheet'!$W$1:$W$65536,'[3]Data Sheet'!$Y$1:$Y$65536,'[3]Data Sheet'!$AA$1:$AA$65536,'[3]Data Sheet'!$AC$1:$AC$65536,'[3]Data Sheet'!$AE$1:$AE$65536,'[3]Data Sheet'!$AE$1:$AE$65536,'[3]Data Sheet'!$AE$1:$AE$65536,'[3]Data Sheet'!$AG$1:$AG$65536,'[3]Data Sheet'!$AI$1:$AI$65536</definedName>
    <definedName name="SpaceBetweenColumns" localSheetId="2">'[3]Data Sheet'!$G$1:$G$65536,'[3]Data Sheet'!$I$1:$I$65536,'[3]Data Sheet'!$K$1:$K$65536,'[3]Data Sheet'!$M$1:$M$65536,'[3]Data Sheet'!#REF!,'[3]Data Sheet'!#REF!,'[3]Data Sheet'!#REF!,'[3]Data Sheet'!#REF!,'[3]Data Sheet'!#REF!,'[3]Data Sheet'!#REF!,'[3]Data Sheet'!#REF!,'[3]Data Sheet'!#REF!,'[3]Data Sheet'!#REF!,'[3]Data Sheet'!#REF!,'[3]Data Sheet'!#REF!,'[3]Data Sheet'!$O$1:$O$65536,'[3]Data Sheet'!$Q$1:$Q$65536,'[3]Data Sheet'!$S$1:$S$65536,'[3]Data Sheet'!$U$1:$U$65536,'[3]Data Sheet'!$W$1:$W$65536,'[3]Data Sheet'!$Y$1:$Y$65536,'[3]Data Sheet'!$AA$1:$AA$65536,'[3]Data Sheet'!$AC$1:$AC$65536,'[3]Data Sheet'!$AE$1:$AE$65536,'[3]Data Sheet'!$AE$1:$AE$65536,'[3]Data Sheet'!$AE$1:$AE$65536,'[3]Data Sheet'!$AG$1:$AG$65536,'[3]Data Sheet'!$AI$1:$AI$65536</definedName>
    <definedName name="StandAloneStandard" localSheetId="3">MATCH("Standalone office apps - standard", Cashflow!Categories,0)</definedName>
    <definedName name="StandAloneStandard" localSheetId="2">MATCH("Standalone office apps - standard", 'Income Statement'!Categories,0)</definedName>
    <definedName name="StandAloneStandard">MATCH("Standalone office apps - standard", [0]!Categories,0)</definedName>
    <definedName name="StandAloneStandardLookup" localSheetId="3">OFFSET('[1]Revsum - trend'!#REF!,Cashflow!StandAloneStandard,1,Cashflow!StandAloneStandardTotal-Cashflow!StandAloneStandard,1)</definedName>
    <definedName name="StandAloneStandardLookup" localSheetId="2">OFFSET('[1]Revsum - trend'!#REF!,'Income Statement'!StandAloneStandard,1,'Income Statement'!StandAloneStandardTotal-'Income Statement'!StandAloneStandard,1)</definedName>
    <definedName name="StandAloneStandardTotal" localSheetId="3">MATCH("Standalone Office Apps - Standard?*", Cashflow!Categories,0)</definedName>
    <definedName name="StandAloneStandardTotal" localSheetId="2">MATCH("Standalone Office Apps - Standard?*", 'Income Statement'!Categories,0)</definedName>
    <definedName name="StandAloneUpgrade" localSheetId="3">MATCH("Standalone office apps - upgrade", Cashflow!Categories,0)</definedName>
    <definedName name="StandAloneUpgrade" localSheetId="2">MATCH("Standalone office apps - upgrade", 'Income Statement'!Categories,0)</definedName>
    <definedName name="StandAloneUpgrade">MATCH("Standalone office apps - upgrade", [0]!Categories,0)</definedName>
    <definedName name="StandAloneUpgradeLookup" localSheetId="3">OFFSET('[1]Revsum - trend'!#REF!,Cashflow!StandAloneUpgrade,1,Cashflow!StandAloneUpgradeTotal-Cashflow!StandAloneUpgrade,1)</definedName>
    <definedName name="StandAloneUpgradeLookup" localSheetId="2">OFFSET('[1]Revsum - trend'!#REF!,'Income Statement'!StandAloneUpgrade,1,'Income Statement'!StandAloneUpgradeTotal-'Income Statement'!StandAloneUpgrade,1)</definedName>
    <definedName name="StandAloneUpgradeTotal" localSheetId="3">MATCH("Standalone Office Apps - Upgrade?*", Cashflow!Categories,0)</definedName>
    <definedName name="StandAloneUpgradeTotal" localSheetId="2">MATCH("Standalone Office Apps - Upgrade?*", 'Income Statement'!Categories,0)</definedName>
    <definedName name="Subregion" localSheetId="3">'[1]Revsum - trend'!#REF!</definedName>
    <definedName name="Subregion" localSheetId="2">'[1]Revsum - trend'!#REF!</definedName>
    <definedName name="SubregionQ" localSheetId="3">#REF!</definedName>
    <definedName name="SubregionQ" localSheetId="2">#REF!</definedName>
    <definedName name="summary" localSheetId="3" hidden="1">{"closed",#N/A,FALSE,"Consolidated Products - Budget";"expanded",#N/A,FALSE,"Consolidated Products - Budget"}</definedName>
    <definedName name="summary" localSheetId="2" hidden="1">{"closed",#N/A,FALSE,"Consolidated Products - Budget";"expanded",#N/A,FALSE,"Consolidated Products - Budget"}</definedName>
    <definedName name="summary" hidden="1">{"closed",#N/A,FALSE,"Consolidated Products - Budget";"expanded",#N/A,FALSE,"Consolidated Products - Budget"}</definedName>
    <definedName name="Trend" localSheetId="3">'[1]Revsum - trend'!#REF!</definedName>
    <definedName name="Trend" localSheetId="2">'[1]Revsum - trend'!#REF!</definedName>
    <definedName name="TrendKind" localSheetId="3">'[1]Revsum - trend'!#REF!</definedName>
    <definedName name="TrendKind" localSheetId="2">'[1]Revsum - trend'!#REF!</definedName>
    <definedName name="trg">CDF!$C$57</definedName>
    <definedName name="verba" localSheetId="3">'[2]May 96'!#REF!</definedName>
    <definedName name="verba" localSheetId="2">'[2]May 96'!#REF!</definedName>
    <definedName name="View" localSheetId="3">'[1]Revsum - trend'!#REF!</definedName>
    <definedName name="View" localSheetId="2">'[1]Revsum - trend'!#REF!</definedName>
    <definedName name="wacc">CDF!$C$56</definedName>
    <definedName name="WALTON" localSheetId="3">'[2]May 96'!#REF!</definedName>
    <definedName name="WALTON" localSheetId="2">'[2]May 96'!#REF!</definedName>
    <definedName name="wrn.prodcon." localSheetId="3" hidden="1">{"closed",#N/A,FALSE,"Consolidated Products - Budget";"expanded",#N/A,FALSE,"Consolidated Products - Budget"}</definedName>
    <definedName name="wrn.prodcon." localSheetId="2" hidden="1">{"closed",#N/A,FALSE,"Consolidated Products - Budget";"expanded",#N/A,FALSE,"Consolidated Products - Budget"}</definedName>
    <definedName name="wrn.prodcon." hidden="1">{"closed",#N/A,FALSE,"Consolidated Products - Budget";"expanded",#N/A,FALSE,"Consolidated Products - Budget"}</definedName>
    <definedName name="XRefCopy1" localSheetId="3" hidden="1">#REF!</definedName>
    <definedName name="XRefCopy1" localSheetId="2" hidden="1">#REF!</definedName>
    <definedName name="XRefCopy1" hidden="1">#REF!</definedName>
    <definedName name="XRefCopy2" localSheetId="3" hidden="1">#REF!</definedName>
    <definedName name="XRefCopy2" localSheetId="2" hidden="1">#REF!</definedName>
    <definedName name="XRefCopy2" hidden="1">#REF!</definedName>
    <definedName name="XRefCopyRangeCount" hidden="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6" i="2" l="1"/>
  <c r="H22" i="2"/>
  <c r="C57" i="2" l="1"/>
  <c r="C56" i="2"/>
  <c r="Q84" i="2"/>
  <c r="Q78" i="2"/>
  <c r="Q76" i="2"/>
  <c r="Q77" i="2"/>
  <c r="Q75" i="2"/>
  <c r="H77" i="2"/>
  <c r="H76" i="2" s="1"/>
  <c r="I76" i="2" s="1"/>
  <c r="J76" i="2" s="1"/>
  <c r="K76" i="2" s="1"/>
  <c r="L76" i="2" s="1"/>
  <c r="M76" i="2" s="1"/>
  <c r="N76" i="2" s="1"/>
  <c r="O76" i="2" s="1"/>
  <c r="P76" i="2" s="1"/>
  <c r="Q72" i="2"/>
  <c r="Q70" i="2"/>
  <c r="Q71" i="2"/>
  <c r="Q69" i="2" s="1"/>
  <c r="Q66" i="2"/>
  <c r="Q64" i="2"/>
  <c r="Q65" i="2"/>
  <c r="Q63" i="2" s="1"/>
  <c r="D35" i="2"/>
  <c r="C35" i="2"/>
  <c r="F32" i="2"/>
  <c r="D32" i="2"/>
  <c r="C32" i="2"/>
  <c r="D24" i="2"/>
  <c r="C24" i="2"/>
  <c r="G20" i="2"/>
  <c r="F20" i="2"/>
  <c r="D20" i="2"/>
  <c r="C20" i="2"/>
  <c r="D41" i="2"/>
  <c r="D90" i="2" s="1"/>
  <c r="G41" i="2"/>
  <c r="G90" i="2" s="1"/>
  <c r="F41" i="2"/>
  <c r="F90" i="2" s="1"/>
  <c r="C41" i="2"/>
  <c r="C90" i="2" s="1"/>
  <c r="D15" i="2"/>
  <c r="D74" i="2" s="1"/>
  <c r="C15" i="2"/>
  <c r="C74" i="2" s="1"/>
  <c r="D12" i="2"/>
  <c r="D68" i="2" s="1"/>
  <c r="C12" i="2"/>
  <c r="C68" i="2" s="1"/>
  <c r="G9" i="2"/>
  <c r="G62" i="2" s="1"/>
  <c r="D9" i="2"/>
  <c r="D62" i="2" s="1"/>
  <c r="C9" i="2"/>
  <c r="C62" i="2" s="1"/>
  <c r="L53" i="5"/>
  <c r="M53" i="5"/>
  <c r="N9" i="5"/>
  <c r="S9" i="5"/>
  <c r="X9" i="5"/>
  <c r="N12" i="5"/>
  <c r="E35" i="2" s="1"/>
  <c r="S12" i="5"/>
  <c r="F35" i="2" s="1"/>
  <c r="X12" i="5"/>
  <c r="G35" i="2" s="1"/>
  <c r="N13" i="5"/>
  <c r="S13" i="5"/>
  <c r="X13" i="5"/>
  <c r="N14" i="5"/>
  <c r="E24" i="2" s="1"/>
  <c r="S14" i="5"/>
  <c r="F24" i="2" s="1"/>
  <c r="X14" i="5"/>
  <c r="G24" i="2" s="1"/>
  <c r="N15" i="5"/>
  <c r="E20" i="2" s="1"/>
  <c r="S15" i="5"/>
  <c r="X15" i="5"/>
  <c r="N16" i="5"/>
  <c r="S16" i="5"/>
  <c r="X16" i="5"/>
  <c r="N17" i="5"/>
  <c r="S17" i="5"/>
  <c r="X17" i="5"/>
  <c r="N18" i="5"/>
  <c r="S18" i="5"/>
  <c r="X18" i="5"/>
  <c r="N19" i="5"/>
  <c r="S19" i="5"/>
  <c r="X19" i="5"/>
  <c r="N21" i="5"/>
  <c r="S21" i="5"/>
  <c r="X21" i="5"/>
  <c r="N22" i="5"/>
  <c r="E41" i="2" s="1"/>
  <c r="E90" i="2" s="1"/>
  <c r="S22" i="5"/>
  <c r="X22" i="5"/>
  <c r="N23" i="5"/>
  <c r="S23" i="5"/>
  <c r="X23" i="5"/>
  <c r="N24" i="5"/>
  <c r="S24" i="5"/>
  <c r="X24" i="5"/>
  <c r="N25" i="5"/>
  <c r="S25" i="5"/>
  <c r="X25" i="5"/>
  <c r="H26" i="5"/>
  <c r="H50" i="5" s="1"/>
  <c r="I26" i="5"/>
  <c r="I50" i="5" s="1"/>
  <c r="J26" i="5"/>
  <c r="J50" i="5" s="1"/>
  <c r="K26" i="5"/>
  <c r="K50" i="5" s="1"/>
  <c r="P26" i="5"/>
  <c r="Q26" i="5"/>
  <c r="R26" i="5"/>
  <c r="T26" i="5"/>
  <c r="U26" i="5"/>
  <c r="V26" i="5"/>
  <c r="W26" i="5"/>
  <c r="N28" i="5"/>
  <c r="E32" i="2" s="1"/>
  <c r="S28" i="5"/>
  <c r="X28" i="5"/>
  <c r="G32" i="2" s="1"/>
  <c r="N29" i="5"/>
  <c r="S29" i="5"/>
  <c r="X29" i="5"/>
  <c r="N30" i="5"/>
  <c r="S30" i="5"/>
  <c r="X30" i="5"/>
  <c r="S31" i="5"/>
  <c r="X31" i="5"/>
  <c r="S32" i="5"/>
  <c r="X32" i="5"/>
  <c r="H33" i="5"/>
  <c r="I33" i="5"/>
  <c r="J33" i="5"/>
  <c r="K33" i="5"/>
  <c r="O33" i="5"/>
  <c r="P33" i="5"/>
  <c r="Q33" i="5"/>
  <c r="R33" i="5"/>
  <c r="T33" i="5"/>
  <c r="U33" i="5"/>
  <c r="V33" i="5"/>
  <c r="W33" i="5"/>
  <c r="N35" i="5"/>
  <c r="S35" i="5"/>
  <c r="N36" i="5"/>
  <c r="S36" i="5"/>
  <c r="N37" i="5"/>
  <c r="S37" i="5"/>
  <c r="X37" i="5"/>
  <c r="N38" i="5"/>
  <c r="S38" i="5"/>
  <c r="X38" i="5"/>
  <c r="N39" i="5"/>
  <c r="S39" i="5"/>
  <c r="X39" i="5"/>
  <c r="N40" i="5"/>
  <c r="S40" i="5"/>
  <c r="X40" i="5"/>
  <c r="N41" i="5"/>
  <c r="S41" i="5"/>
  <c r="X41" i="5"/>
  <c r="H42" i="5"/>
  <c r="I42" i="5"/>
  <c r="J42" i="5"/>
  <c r="K42" i="5"/>
  <c r="O42" i="5"/>
  <c r="P42" i="5"/>
  <c r="Q42" i="5"/>
  <c r="R42" i="5"/>
  <c r="T42" i="5"/>
  <c r="U42" i="5"/>
  <c r="V42" i="5"/>
  <c r="W42" i="5"/>
  <c r="N44" i="5"/>
  <c r="S44" i="5"/>
  <c r="X44" i="5"/>
  <c r="N45" i="5"/>
  <c r="N47" i="5" s="1"/>
  <c r="S45" i="5"/>
  <c r="S47" i="5" s="1"/>
  <c r="X45" i="5"/>
  <c r="H47" i="5"/>
  <c r="I47" i="5"/>
  <c r="J47" i="5"/>
  <c r="K47" i="5"/>
  <c r="P47" i="5"/>
  <c r="Q47" i="5"/>
  <c r="R47" i="5"/>
  <c r="T47" i="5"/>
  <c r="U47" i="5"/>
  <c r="V47" i="5"/>
  <c r="W47" i="5"/>
  <c r="X47" i="5"/>
  <c r="S50" i="5"/>
  <c r="X50" i="5"/>
  <c r="H51" i="5"/>
  <c r="I51" i="5"/>
  <c r="J51" i="5"/>
  <c r="K51" i="5"/>
  <c r="S51" i="5"/>
  <c r="X51" i="5"/>
  <c r="H52" i="5"/>
  <c r="I52" i="5"/>
  <c r="J52" i="5"/>
  <c r="K52" i="5"/>
  <c r="S52" i="5"/>
  <c r="X52" i="5"/>
  <c r="P53" i="5"/>
  <c r="Q53" i="5"/>
  <c r="R53" i="5"/>
  <c r="T53" i="5"/>
  <c r="U53" i="5"/>
  <c r="V53" i="5"/>
  <c r="W53" i="5"/>
  <c r="K9" i="4"/>
  <c r="E9" i="2" s="1"/>
  <c r="E62" i="2" s="1"/>
  <c r="P9" i="4"/>
  <c r="F9" i="2" s="1"/>
  <c r="F62" i="2" s="1"/>
  <c r="U9" i="4"/>
  <c r="K10" i="4"/>
  <c r="P10" i="4"/>
  <c r="U10" i="4"/>
  <c r="K11" i="4"/>
  <c r="P11" i="4"/>
  <c r="U11" i="4"/>
  <c r="K12" i="4"/>
  <c r="P12" i="4"/>
  <c r="U12" i="4"/>
  <c r="K13" i="4"/>
  <c r="P13" i="4"/>
  <c r="U13" i="4"/>
  <c r="G14" i="4"/>
  <c r="H14" i="4"/>
  <c r="H18" i="4" s="1"/>
  <c r="H20" i="4" s="1"/>
  <c r="I14" i="4"/>
  <c r="I18" i="4" s="1"/>
  <c r="I20" i="4" s="1"/>
  <c r="J14" i="4"/>
  <c r="M14" i="4"/>
  <c r="N14" i="4"/>
  <c r="N18" i="4" s="1"/>
  <c r="N20" i="4" s="1"/>
  <c r="O14" i="4"/>
  <c r="O18" i="4" s="1"/>
  <c r="O20" i="4" s="1"/>
  <c r="K16" i="4"/>
  <c r="P16" i="4"/>
  <c r="U16" i="4"/>
  <c r="K17" i="4"/>
  <c r="P17" i="4"/>
  <c r="U17" i="4"/>
  <c r="J18" i="4"/>
  <c r="J20" i="4" s="1"/>
  <c r="M18" i="4"/>
  <c r="M20" i="4" s="1"/>
  <c r="K19" i="4"/>
  <c r="E15" i="2" s="1"/>
  <c r="E74" i="2" s="1"/>
  <c r="P19" i="4"/>
  <c r="F15" i="2" s="1"/>
  <c r="F74" i="2" s="1"/>
  <c r="U19" i="4"/>
  <c r="G15" i="2" s="1"/>
  <c r="G74" i="2" s="1"/>
  <c r="H75" i="2" l="1"/>
  <c r="I77" i="2"/>
  <c r="H78" i="2"/>
  <c r="I78" i="2" s="1"/>
  <c r="D63" i="2"/>
  <c r="C75" i="2"/>
  <c r="D38" i="2"/>
  <c r="D39" i="2" s="1"/>
  <c r="D75" i="2"/>
  <c r="E91" i="2"/>
  <c r="C91" i="2"/>
  <c r="C28" i="2"/>
  <c r="C29" i="2" s="1"/>
  <c r="F63" i="2"/>
  <c r="D69" i="2"/>
  <c r="E63" i="2"/>
  <c r="D91" i="2"/>
  <c r="C69" i="2"/>
  <c r="F91" i="2"/>
  <c r="G63" i="2"/>
  <c r="G91" i="2"/>
  <c r="G38" i="2"/>
  <c r="F38" i="2"/>
  <c r="E38" i="2"/>
  <c r="C38" i="2"/>
  <c r="G28" i="2"/>
  <c r="E28" i="2"/>
  <c r="D28" i="2"/>
  <c r="F28" i="2"/>
  <c r="C26" i="2"/>
  <c r="D26" i="2"/>
  <c r="C22" i="2"/>
  <c r="F26" i="2"/>
  <c r="G26" i="2"/>
  <c r="E26" i="2"/>
  <c r="S33" i="5"/>
  <c r="K4" i="4"/>
  <c r="U14" i="4"/>
  <c r="D22" i="2"/>
  <c r="C33" i="2"/>
  <c r="G33" i="2"/>
  <c r="D33" i="2"/>
  <c r="E33" i="2"/>
  <c r="F33" i="2"/>
  <c r="F21" i="2"/>
  <c r="E21" i="2"/>
  <c r="C36" i="2"/>
  <c r="C25" i="2"/>
  <c r="G21" i="2"/>
  <c r="E22" i="2"/>
  <c r="F25" i="2"/>
  <c r="D36" i="2"/>
  <c r="D25" i="2"/>
  <c r="E25" i="2"/>
  <c r="E36" i="2"/>
  <c r="F22" i="2"/>
  <c r="F36" i="2"/>
  <c r="G22" i="2"/>
  <c r="G36" i="2"/>
  <c r="G25" i="2"/>
  <c r="D21" i="2"/>
  <c r="C21" i="2"/>
  <c r="F10" i="2"/>
  <c r="C42" i="2"/>
  <c r="E43" i="2"/>
  <c r="F43" i="2"/>
  <c r="G43" i="2"/>
  <c r="C13" i="2"/>
  <c r="D42" i="2"/>
  <c r="F42" i="2"/>
  <c r="E42" i="2"/>
  <c r="D43" i="2"/>
  <c r="D13" i="2"/>
  <c r="E10" i="2"/>
  <c r="C16" i="2"/>
  <c r="D16" i="2"/>
  <c r="G42" i="2"/>
  <c r="G10" i="2"/>
  <c r="D10" i="2"/>
  <c r="K53" i="5"/>
  <c r="J53" i="5"/>
  <c r="N33" i="5"/>
  <c r="N51" i="5"/>
  <c r="X42" i="5"/>
  <c r="N26" i="5"/>
  <c r="I53" i="5"/>
  <c r="N50" i="5"/>
  <c r="S53" i="5"/>
  <c r="X53" i="5"/>
  <c r="S42" i="5"/>
  <c r="X26" i="5"/>
  <c r="N42" i="5"/>
  <c r="S26" i="5"/>
  <c r="N52" i="5"/>
  <c r="H53" i="5"/>
  <c r="X33" i="5"/>
  <c r="U4" i="4"/>
  <c r="P4" i="4"/>
  <c r="P14" i="4"/>
  <c r="K14" i="4"/>
  <c r="E12" i="2" s="1"/>
  <c r="G18" i="4"/>
  <c r="K18" i="4" s="1"/>
  <c r="H91" i="2" l="1"/>
  <c r="H25" i="2"/>
  <c r="I36" i="2"/>
  <c r="J78" i="2"/>
  <c r="K78" i="2" s="1"/>
  <c r="L78" i="2" s="1"/>
  <c r="M78" i="2" s="1"/>
  <c r="N78" i="2" s="1"/>
  <c r="O78" i="2" s="1"/>
  <c r="P78" i="2" s="1"/>
  <c r="I75" i="2"/>
  <c r="J77" i="2"/>
  <c r="D87" i="2"/>
  <c r="D88" i="2" s="1"/>
  <c r="C83" i="2"/>
  <c r="D29" i="2"/>
  <c r="D83" i="2"/>
  <c r="D30" i="2"/>
  <c r="E29" i="2"/>
  <c r="E83" i="2"/>
  <c r="E30" i="2"/>
  <c r="E39" i="2"/>
  <c r="E87" i="2"/>
  <c r="E88" i="2" s="1"/>
  <c r="G29" i="2"/>
  <c r="G30" i="2"/>
  <c r="G83" i="2"/>
  <c r="F39" i="2"/>
  <c r="F87" i="2"/>
  <c r="F88" i="2" s="1"/>
  <c r="G39" i="2"/>
  <c r="G87" i="2"/>
  <c r="G88" i="2" s="1"/>
  <c r="E13" i="2"/>
  <c r="E68" i="2"/>
  <c r="C39" i="2"/>
  <c r="C87" i="2"/>
  <c r="C88" i="2" s="1"/>
  <c r="C30" i="2"/>
  <c r="F29" i="2"/>
  <c r="F30" i="2"/>
  <c r="F83" i="2"/>
  <c r="C84" i="2"/>
  <c r="H33" i="2"/>
  <c r="E16" i="2"/>
  <c r="U18" i="4"/>
  <c r="U20" i="4" s="1"/>
  <c r="G12" i="2"/>
  <c r="G68" i="2" s="1"/>
  <c r="N53" i="5"/>
  <c r="P18" i="4"/>
  <c r="P20" i="4" s="1"/>
  <c r="F12" i="2"/>
  <c r="F68" i="2" s="1"/>
  <c r="H21" i="2"/>
  <c r="H9" i="2"/>
  <c r="G20" i="4"/>
  <c r="K20" i="4" s="1"/>
  <c r="J36" i="2" l="1"/>
  <c r="I25" i="2"/>
  <c r="I91" i="2"/>
  <c r="J75" i="2"/>
  <c r="K77" i="2"/>
  <c r="C85" i="2"/>
  <c r="G84" i="2"/>
  <c r="G85" i="2"/>
  <c r="F84" i="2"/>
  <c r="F85" i="2"/>
  <c r="E85" i="2"/>
  <c r="E84" i="2"/>
  <c r="F69" i="2"/>
  <c r="F75" i="2"/>
  <c r="G69" i="2"/>
  <c r="G75" i="2"/>
  <c r="D84" i="2"/>
  <c r="D85" i="2"/>
  <c r="E69" i="2"/>
  <c r="E75" i="2"/>
  <c r="H24" i="2"/>
  <c r="I33" i="2"/>
  <c r="J33" i="2" s="1"/>
  <c r="F16" i="2"/>
  <c r="F13" i="2"/>
  <c r="H32" i="2"/>
  <c r="H20" i="2"/>
  <c r="H35" i="2"/>
  <c r="P23" i="4"/>
  <c r="P22" i="4"/>
  <c r="G16" i="2"/>
  <c r="G13" i="2"/>
  <c r="U22" i="4"/>
  <c r="U23" i="4"/>
  <c r="H10" i="2"/>
  <c r="I9" i="2" s="1"/>
  <c r="I24" i="2" s="1"/>
  <c r="I21" i="2"/>
  <c r="J91" i="2" l="1"/>
  <c r="J25" i="2"/>
  <c r="K36" i="2"/>
  <c r="K75" i="2"/>
  <c r="L77" i="2"/>
  <c r="H38" i="2"/>
  <c r="H39" i="2" s="1"/>
  <c r="H28" i="2"/>
  <c r="K33" i="2"/>
  <c r="H13" i="2"/>
  <c r="I32" i="2"/>
  <c r="I20" i="2"/>
  <c r="I35" i="2"/>
  <c r="I10" i="2"/>
  <c r="J21" i="2"/>
  <c r="L36" i="2" l="1"/>
  <c r="K91" i="2"/>
  <c r="K25" i="2"/>
  <c r="I13" i="2"/>
  <c r="I12" i="2" s="1"/>
  <c r="I15" i="2" s="1"/>
  <c r="H71" i="2"/>
  <c r="L75" i="2"/>
  <c r="M77" i="2"/>
  <c r="J9" i="2"/>
  <c r="J24" i="2" s="1"/>
  <c r="I65" i="2"/>
  <c r="H29" i="2"/>
  <c r="H30" i="2"/>
  <c r="I38" i="2"/>
  <c r="I39" i="2" s="1"/>
  <c r="I26" i="2"/>
  <c r="I28" i="2"/>
  <c r="H12" i="2"/>
  <c r="H15" i="2" s="1"/>
  <c r="I22" i="2"/>
  <c r="L33" i="2"/>
  <c r="K21" i="2"/>
  <c r="L91" i="2" l="1"/>
  <c r="M36" i="2"/>
  <c r="L25" i="2"/>
  <c r="N77" i="2"/>
  <c r="M75" i="2"/>
  <c r="H69" i="2"/>
  <c r="H72" i="2"/>
  <c r="H70" i="2"/>
  <c r="H65" i="2"/>
  <c r="I63" i="2"/>
  <c r="I66" i="2"/>
  <c r="I64" i="2"/>
  <c r="J13" i="2"/>
  <c r="J12" i="2" s="1"/>
  <c r="J15" i="2" s="1"/>
  <c r="I71" i="2"/>
  <c r="J20" i="2"/>
  <c r="J28" i="2" s="1"/>
  <c r="J35" i="2"/>
  <c r="J26" i="2" s="1"/>
  <c r="J32" i="2"/>
  <c r="J10" i="2"/>
  <c r="K9" i="2" s="1"/>
  <c r="K24" i="2" s="1"/>
  <c r="I29" i="2"/>
  <c r="I30" i="2"/>
  <c r="L21" i="2"/>
  <c r="M21" i="2" s="1"/>
  <c r="N21" i="2" s="1"/>
  <c r="M33" i="2"/>
  <c r="N36" i="2" l="1"/>
  <c r="N91" i="2"/>
  <c r="O36" i="2"/>
  <c r="P36" i="2" s="1"/>
  <c r="M25" i="2"/>
  <c r="M91" i="2"/>
  <c r="J65" i="2"/>
  <c r="J63" i="2"/>
  <c r="J66" i="2"/>
  <c r="J64" i="2"/>
  <c r="K64" i="2" s="1"/>
  <c r="L64" i="2" s="1"/>
  <c r="M64" i="2" s="1"/>
  <c r="N64" i="2" s="1"/>
  <c r="O64" i="2" s="1"/>
  <c r="P64" i="2" s="1"/>
  <c r="K65" i="2"/>
  <c r="H63" i="2"/>
  <c r="H62" i="2" s="1"/>
  <c r="H90" i="2" s="1"/>
  <c r="H66" i="2"/>
  <c r="H64" i="2"/>
  <c r="J22" i="2"/>
  <c r="I69" i="2"/>
  <c r="I72" i="2"/>
  <c r="I70" i="2"/>
  <c r="K13" i="2"/>
  <c r="L13" i="2" s="1"/>
  <c r="M13" i="2" s="1"/>
  <c r="N13" i="2" s="1"/>
  <c r="O13" i="2" s="1"/>
  <c r="P13" i="2" s="1"/>
  <c r="Q13" i="2" s="1"/>
  <c r="J71" i="2"/>
  <c r="N75" i="2"/>
  <c r="O77" i="2"/>
  <c r="J38" i="2"/>
  <c r="J39" i="2" s="1"/>
  <c r="K32" i="2"/>
  <c r="K20" i="2"/>
  <c r="K28" i="2" s="1"/>
  <c r="K10" i="2"/>
  <c r="L9" i="2" s="1"/>
  <c r="L24" i="2" s="1"/>
  <c r="K35" i="2"/>
  <c r="K38" i="2" s="1"/>
  <c r="K39" i="2" s="1"/>
  <c r="K12" i="2"/>
  <c r="K15" i="2" s="1"/>
  <c r="J29" i="2"/>
  <c r="O21" i="2"/>
  <c r="P21" i="2" s="1"/>
  <c r="Q21" i="2" s="1"/>
  <c r="N33" i="2"/>
  <c r="O33" i="2" s="1"/>
  <c r="J30" i="2" l="1"/>
  <c r="Q36" i="2"/>
  <c r="N25" i="2"/>
  <c r="O25" i="2" s="1"/>
  <c r="O91" i="2"/>
  <c r="Q91" i="2" s="1"/>
  <c r="P91" i="2"/>
  <c r="J69" i="2"/>
  <c r="J72" i="2"/>
  <c r="K72" i="2" s="1"/>
  <c r="L72" i="2" s="1"/>
  <c r="M72" i="2" s="1"/>
  <c r="N72" i="2" s="1"/>
  <c r="O72" i="2" s="1"/>
  <c r="P72" i="2" s="1"/>
  <c r="J70" i="2"/>
  <c r="K70" i="2" s="1"/>
  <c r="L70" i="2" s="1"/>
  <c r="M70" i="2" s="1"/>
  <c r="N70" i="2" s="1"/>
  <c r="O70" i="2" s="1"/>
  <c r="P70" i="2" s="1"/>
  <c r="K71" i="2"/>
  <c r="O75" i="2"/>
  <c r="P77" i="2"/>
  <c r="P75" i="2" s="1"/>
  <c r="H68" i="2"/>
  <c r="I62" i="2"/>
  <c r="I90" i="2" s="1"/>
  <c r="L65" i="2"/>
  <c r="K63" i="2"/>
  <c r="K22" i="2"/>
  <c r="L12" i="2"/>
  <c r="L15" i="2" s="1"/>
  <c r="L10" i="2"/>
  <c r="M9" i="2" s="1"/>
  <c r="M10" i="2" s="1"/>
  <c r="K26" i="2"/>
  <c r="L20" i="2"/>
  <c r="L28" i="2" s="1"/>
  <c r="L32" i="2"/>
  <c r="L35" i="2"/>
  <c r="K29" i="2"/>
  <c r="K30" i="2"/>
  <c r="P33" i="2"/>
  <c r="Q33" i="2" s="1"/>
  <c r="P25" i="2" l="1"/>
  <c r="Q25" i="2" s="1"/>
  <c r="L38" i="2"/>
  <c r="L39" i="2" s="1"/>
  <c r="J62" i="2"/>
  <c r="I68" i="2"/>
  <c r="I74" i="2" s="1"/>
  <c r="I81" i="2" s="1"/>
  <c r="H74" i="2"/>
  <c r="H81" i="2" s="1"/>
  <c r="L71" i="2"/>
  <c r="K69" i="2"/>
  <c r="M65" i="2"/>
  <c r="L63" i="2"/>
  <c r="L22" i="2"/>
  <c r="L26" i="2"/>
  <c r="M32" i="2"/>
  <c r="M20" i="2"/>
  <c r="M35" i="2"/>
  <c r="M12" i="2"/>
  <c r="M15" i="2" s="1"/>
  <c r="M24" i="2"/>
  <c r="N9" i="2"/>
  <c r="L29" i="2"/>
  <c r="L30" i="2"/>
  <c r="J90" i="2" l="1"/>
  <c r="J68" i="2"/>
  <c r="J74" i="2" s="1"/>
  <c r="J81" i="2" s="1"/>
  <c r="K62" i="2"/>
  <c r="N65" i="2"/>
  <c r="M63" i="2"/>
  <c r="M71" i="2"/>
  <c r="L69" i="2"/>
  <c r="M26" i="2"/>
  <c r="M38" i="2"/>
  <c r="M39" i="2" s="1"/>
  <c r="M22" i="2"/>
  <c r="M28" i="2"/>
  <c r="M29" i="2" s="1"/>
  <c r="N24" i="2"/>
  <c r="N35" i="2"/>
  <c r="N12" i="2"/>
  <c r="N15" i="2" s="1"/>
  <c r="N10" i="2"/>
  <c r="N32" i="2"/>
  <c r="N20" i="2"/>
  <c r="K90" i="2" l="1"/>
  <c r="K68" i="2"/>
  <c r="K74" i="2" s="1"/>
  <c r="K81" i="2" s="1"/>
  <c r="L62" i="2"/>
  <c r="N71" i="2"/>
  <c r="M69" i="2"/>
  <c r="O65" i="2"/>
  <c r="N63" i="2"/>
  <c r="N26" i="2"/>
  <c r="N22" i="2"/>
  <c r="M30" i="2"/>
  <c r="O9" i="2"/>
  <c r="N28" i="2"/>
  <c r="N29" i="2" s="1"/>
  <c r="N38" i="2"/>
  <c r="N39" i="2" s="1"/>
  <c r="L90" i="2" l="1"/>
  <c r="L68" i="2"/>
  <c r="L74" i="2" s="1"/>
  <c r="L81" i="2" s="1"/>
  <c r="M62" i="2"/>
  <c r="P65" i="2"/>
  <c r="P63" i="2" s="1"/>
  <c r="O63" i="2"/>
  <c r="O71" i="2"/>
  <c r="N69" i="2"/>
  <c r="N30" i="2"/>
  <c r="O24" i="2"/>
  <c r="O35" i="2"/>
  <c r="O10" i="2"/>
  <c r="O32" i="2"/>
  <c r="O20" i="2"/>
  <c r="O22" i="2" s="1"/>
  <c r="O12" i="2"/>
  <c r="O15" i="2" s="1"/>
  <c r="M90" i="2" l="1"/>
  <c r="M68" i="2"/>
  <c r="M74" i="2" s="1"/>
  <c r="M81" i="2" s="1"/>
  <c r="N62" i="2"/>
  <c r="P71" i="2"/>
  <c r="P69" i="2" s="1"/>
  <c r="O69" i="2"/>
  <c r="P9" i="2"/>
  <c r="O28" i="2"/>
  <c r="O26" i="2"/>
  <c r="O38" i="2"/>
  <c r="O39" i="2" s="1"/>
  <c r="N90" i="2" l="1"/>
  <c r="O62" i="2"/>
  <c r="O90" i="2" s="1"/>
  <c r="N68" i="2"/>
  <c r="N74" i="2" s="1"/>
  <c r="N81" i="2" s="1"/>
  <c r="O29" i="2"/>
  <c r="O30" i="2"/>
  <c r="P24" i="2"/>
  <c r="P32" i="2"/>
  <c r="P10" i="2"/>
  <c r="P20" i="2"/>
  <c r="P35" i="2"/>
  <c r="P12" i="2"/>
  <c r="P15" i="2" s="1"/>
  <c r="P22" i="2" l="1"/>
  <c r="O68" i="2"/>
  <c r="O74" i="2" s="1"/>
  <c r="O81" i="2" s="1"/>
  <c r="P62" i="2"/>
  <c r="P90" i="2" s="1"/>
  <c r="P38" i="2"/>
  <c r="P39" i="2" s="1"/>
  <c r="Q9" i="2"/>
  <c r="P26" i="2"/>
  <c r="P28" i="2"/>
  <c r="P68" i="2" l="1"/>
  <c r="P74" i="2" s="1"/>
  <c r="P81" i="2" s="1"/>
  <c r="Q62" i="2"/>
  <c r="P29" i="2"/>
  <c r="P30" i="2"/>
  <c r="Q24" i="2"/>
  <c r="Q12" i="2"/>
  <c r="Q15" i="2" s="1"/>
  <c r="Q10" i="2"/>
  <c r="Q20" i="2"/>
  <c r="Q35" i="2"/>
  <c r="Q32" i="2"/>
  <c r="Q87" i="2" l="1"/>
  <c r="Q90" i="2"/>
  <c r="Q68" i="2"/>
  <c r="Q74" i="2" s="1"/>
  <c r="Q81" i="2" s="1"/>
  <c r="Q83" i="2"/>
  <c r="Q38" i="2"/>
  <c r="Q39" i="2" s="1"/>
  <c r="Q26" i="2"/>
  <c r="Q28" i="2"/>
  <c r="Q22" i="2"/>
  <c r="Q94" i="2" l="1"/>
  <c r="Q96" i="2" s="1"/>
  <c r="Q97" i="2" s="1"/>
  <c r="Q29" i="2"/>
  <c r="Q30" i="2"/>
  <c r="K66" i="2"/>
  <c r="L66" i="2" s="1"/>
  <c r="M66" i="2" s="1"/>
  <c r="N66" i="2" s="1"/>
  <c r="O66" i="2" s="1"/>
  <c r="P66" i="2" s="1"/>
  <c r="H84" i="2"/>
  <c r="H83" i="2" s="1"/>
  <c r="I84" i="2"/>
  <c r="H88" i="2"/>
  <c r="H87" i="2" s="1"/>
  <c r="H94" i="2" l="1"/>
  <c r="H95" i="2" s="1" a="1"/>
  <c r="H95" i="2" s="1"/>
  <c r="Q95" i="2" a="1"/>
  <c r="Q95" i="2" s="1"/>
  <c r="J84" i="2"/>
  <c r="I83" i="2"/>
  <c r="I88" i="2"/>
  <c r="K84" i="2" l="1"/>
  <c r="J83" i="2"/>
  <c r="I87" i="2"/>
  <c r="I94" i="2" s="1"/>
  <c r="I95" i="2" s="1" a="1"/>
  <c r="I95" i="2" s="1"/>
  <c r="J88" i="2"/>
  <c r="L84" i="2" l="1"/>
  <c r="K83" i="2"/>
  <c r="J87" i="2"/>
  <c r="J94" i="2" s="1"/>
  <c r="J95" i="2" s="1" a="1"/>
  <c r="J95" i="2" s="1"/>
  <c r="K88" i="2"/>
  <c r="M84" i="2" l="1"/>
  <c r="L83" i="2"/>
  <c r="L88" i="2"/>
  <c r="K87" i="2"/>
  <c r="K94" i="2" s="1"/>
  <c r="K95" i="2" s="1" a="1"/>
  <c r="K95" i="2" s="1"/>
  <c r="N84" i="2" l="1"/>
  <c r="M83" i="2"/>
  <c r="M88" i="2"/>
  <c r="L87" i="2"/>
  <c r="L94" i="2" s="1"/>
  <c r="L95" i="2" s="1" a="1"/>
  <c r="L95" i="2" s="1"/>
  <c r="O84" i="2" l="1"/>
  <c r="N83" i="2"/>
  <c r="N88" i="2"/>
  <c r="M87" i="2"/>
  <c r="M94" i="2" s="1"/>
  <c r="M95" i="2" s="1" a="1"/>
  <c r="M95" i="2" s="1"/>
  <c r="P84" i="2" l="1"/>
  <c r="P83" i="2" s="1"/>
  <c r="O83" i="2"/>
  <c r="O88" i="2"/>
  <c r="N87" i="2"/>
  <c r="N94" i="2" s="1"/>
  <c r="N95" i="2" s="1" a="1"/>
  <c r="N95" i="2" s="1"/>
  <c r="P88" i="2" l="1"/>
  <c r="P87" i="2" s="1"/>
  <c r="P94" i="2" s="1"/>
  <c r="P95" i="2" s="1" a="1"/>
  <c r="P95" i="2" s="1"/>
  <c r="O87" i="2"/>
  <c r="O94" i="2" s="1"/>
  <c r="O95" i="2" s="1" a="1"/>
  <c r="O95" i="2" s="1"/>
  <c r="Q98" i="2" l="1"/>
  <c r="Q101" i="2" s="1"/>
  <c r="Q103"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tc={BBC04331-559C-0B43-95D1-50C81172D056}</author>
    <author>tc={B00D6083-CE98-7F4D-8756-FBB58A038547}</author>
    <author>tc={269EBE1D-DF57-2443-A5F5-C58A9CAC04FF}</author>
    <author>tc={C989C55B-6D6C-3C43-9D2E-CD53CEEB0C85}</author>
    <author>tc={5B05145F-A43A-9F46-9F29-B6CF06C5ED33}</author>
    <author>tc={C919E0FB-37FB-934A-92DB-DD2C3B65E849}</author>
    <author>tc={A85D0048-ED5D-754D-81A3-030B488DE63F}</author>
    <author>tc={BEB26D84-F968-1244-B7F8-9C5A1D62529C}</author>
  </authors>
  <commentList>
    <comment ref="C47" authorId="0" shapeId="0" xr:uid="{BBC04331-559C-0B43-95D1-50C81172D056}">
      <text>
        <t xml:space="preserve">[Threaded comment]
Your version of Excel allows you to read this threaded comment; however, any edits to it will get removed if the file is opened in a newer version of Excel. Learn more: https://go.microsoft.com/fwlink/?linkid=870924
Comment:
    To switch from the different cases, write:
1 for conservative
2 for base
3 for optimistic
</t>
      </text>
    </comment>
    <comment ref="G54" authorId="1" shapeId="0" xr:uid="{B00D6083-CE98-7F4D-8756-FBB58A038547}">
      <text>
        <t>[Threaded comment]
Your version of Excel allows you to read this threaded comment; however, any edits to it will get removed if the file is opened in a newer version of Excel. Learn more: https://go.microsoft.com/fwlink/?linkid=870924
Comment:
    Based on Morgan Stanley Netflix Report</t>
      </text>
    </comment>
    <comment ref="K54" authorId="2" shapeId="0" xr:uid="{269EBE1D-DF57-2443-A5F5-C58A9CAC04FF}">
      <text>
        <t>[Threaded comment]
Your version of Excel allows you to read this threaded comment; however, any edits to it will get removed if the file is opened in a newer version of Excel. Learn more: https://go.microsoft.com/fwlink/?linkid=870924
Comment:
    Based on Morgan Stanley Netflix Report</t>
      </text>
    </comment>
    <comment ref="O54" authorId="3" shapeId="0" xr:uid="{C989C55B-6D6C-3C43-9D2E-CD53CEEB0C85}">
      <text>
        <t>[Threaded comment]
Your version of Excel allows you to read this threaded comment; however, any edits to it will get removed if the file is opened in a newer version of Excel. Learn more: https://go.microsoft.com/fwlink/?linkid=870924
Comment:
    Based on Morgan Stanley Netflix Report</t>
      </text>
    </comment>
    <comment ref="B65" authorId="4" shapeId="0" xr:uid="{5B05145F-A43A-9F46-9F29-B6CF06C5ED33}">
      <text>
        <t xml:space="preserve">[Threaded comment]
Your version of Excel allows you to read this threaded comment; however, any edits to it will get removed if the file is opened in a newer version of Excel. Learn more: https://go.microsoft.com/fwlink/?linkid=870924
Comment:
    The Base revenue growth rate seems to be decreasing, which makes sense because there is more and more competition </t>
      </text>
    </comment>
    <comment ref="H65" authorId="5" shapeId="0" xr:uid="{C919E0FB-37FB-934A-92DB-DD2C3B65E849}">
      <text>
        <t>[Threaded comment]
Your version of Excel allows you to read this threaded comment; however, any edits to it will get removed if the file is opened in a newer version of Excel. Learn more: https://go.microsoft.com/fwlink/?linkid=870924
Comment:
    This value was adjusted to be the average between the 2023 and 2025 growth to be more realistic</t>
      </text>
    </comment>
    <comment ref="B71" authorId="6" shapeId="0" xr:uid="{A85D0048-ED5D-754D-81A3-030B488DE63F}">
      <text>
        <t>[Threaded comment]
Your version of Excel allows you to read this threaded comment; however, any edits to it will get removed if the file is opened in a newer version of Excel. Learn more: https://go.microsoft.com/fwlink/?linkid=870924
Comment:
    Base Case EBIT growth is projected to increse as Netflix begins to focus more on profitability</t>
      </text>
    </comment>
    <comment ref="B77" authorId="7" shapeId="0" xr:uid="{BEB26D84-F968-1244-B7F8-9C5A1D62529C}">
      <text>
        <t xml:space="preserve">[Threaded comment]
Your version of Excel allows you to read this threaded comment; however, any edits to it will get removed if the file is opened in a newer version of Excel. Learn more: https://go.microsoft.com/fwlink/?linkid=870924
Comment:
    Although the current marginal tax rate on Netlfix is 13%, the DCF will project a linear growth towards the current US corporate tax of 21%
</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<sst xmlns="http://schemas.openxmlformats.org/spreadsheetml/2006/main" count="249" uniqueCount="141">
  <si>
    <t>Income Statement</t>
  </si>
  <si>
    <t>Revenue</t>
  </si>
  <si>
    <t>EBIT</t>
  </si>
  <si>
    <t>Capital Expenditures</t>
  </si>
  <si>
    <t>Netflix DCF</t>
  </si>
  <si>
    <t>Ticker</t>
  </si>
  <si>
    <t>Date</t>
  </si>
  <si>
    <t>NFLX</t>
  </si>
  <si>
    <t>Cash Flow Items</t>
  </si>
  <si>
    <t>Diluted</t>
  </si>
  <si>
    <t>Basic</t>
  </si>
  <si>
    <t>Weighted-average shares of common stock outstanding:</t>
  </si>
  <si>
    <t>Earnings per share:</t>
  </si>
  <si>
    <t>Net income</t>
  </si>
  <si>
    <t>Benefit from (provision for) income taxes</t>
  </si>
  <si>
    <t>Income before income taxes</t>
  </si>
  <si>
    <t>Interest and other income (expense)</t>
  </si>
  <si>
    <t xml:space="preserve">Interest expense </t>
  </si>
  <si>
    <t>Other income (expense):</t>
  </si>
  <si>
    <t>Operating income</t>
  </si>
  <si>
    <t>General and administrative</t>
  </si>
  <si>
    <t>Technology and development</t>
  </si>
  <si>
    <t>Marketing</t>
  </si>
  <si>
    <t>Cost of revenues</t>
  </si>
  <si>
    <t>Revenues</t>
  </si>
  <si>
    <t>December 31,</t>
  </si>
  <si>
    <t>September 30,</t>
  </si>
  <si>
    <t>June 30,</t>
  </si>
  <si>
    <t>March 31,</t>
  </si>
  <si>
    <t>Twelve Months Ended</t>
  </si>
  <si>
    <t>Three Months Ended</t>
  </si>
  <si>
    <t>(in thousands, except per share data)</t>
  </si>
  <si>
    <t>(unaudited)</t>
  </si>
  <si>
    <t>Consolidated Statements of Operations</t>
  </si>
  <si>
    <t>Netflix, Inc.</t>
  </si>
  <si>
    <t>Non-GAAP free cash flow</t>
  </si>
  <si>
    <t>Change in other assets</t>
  </si>
  <si>
    <t>Purchases of property and equipment</t>
  </si>
  <si>
    <t>Net cash provided by (used in) operating activities</t>
  </si>
  <si>
    <t>Non-GAAP free cash flow reconciliation:</t>
  </si>
  <si>
    <t xml:space="preserve"> Cash, cash equivalents, and restricted cash end of period</t>
  </si>
  <si>
    <t>Cash, cash equivalents, and restricted cash beginning of period</t>
  </si>
  <si>
    <t>Net increase (decrease) in cash, cash equivalents, and restricted cash</t>
  </si>
  <si>
    <t>Effect of exchange rate changes on cash, cash equivalents, and restricted cash</t>
  </si>
  <si>
    <t>Net cash provided by (used in) financing activities</t>
  </si>
  <si>
    <t>Other financing activities</t>
  </si>
  <si>
    <t>Taxes paid related to net share settlement of equity awards</t>
  </si>
  <si>
    <t>Repurchases of common stock</t>
  </si>
  <si>
    <t>Proceeds from issuance of common stock</t>
  </si>
  <si>
    <t>Repayments of debt</t>
  </si>
  <si>
    <t>Debt issuance costs</t>
  </si>
  <si>
    <t>Proceeds from issuance of debt</t>
  </si>
  <si>
    <t>Cash flows from financing activities:</t>
  </si>
  <si>
    <t>Net cash provided by (used in) investing activities</t>
  </si>
  <si>
    <t>Proceeds from maturities of short-term investments</t>
  </si>
  <si>
    <t>Purchases of short-term investments</t>
  </si>
  <si>
    <t>Acquisitions</t>
  </si>
  <si>
    <t>Cash flows from investing activities:</t>
  </si>
  <si>
    <t>Other non-current assets and liabilities</t>
  </si>
  <si>
    <t>Deferred revenue</t>
  </si>
  <si>
    <t>Accrued expenses and other liabilities</t>
  </si>
  <si>
    <t>Accounts payable</t>
  </si>
  <si>
    <t>Other current assets</t>
  </si>
  <si>
    <t>Changes in operating assets and liabilities:</t>
  </si>
  <si>
    <t>Deferred income taxes</t>
  </si>
  <si>
    <t>Other non-cash items</t>
  </si>
  <si>
    <t>Foreign currency remeasurement loss (gain) on debt</t>
  </si>
  <si>
    <t>Stock-based compensation expense</t>
  </si>
  <si>
    <t>Depreciation and amortization of property, equipment and intangibles</t>
  </si>
  <si>
    <t>Amortization of content assets</t>
  </si>
  <si>
    <t>Change in content liabilities</t>
  </si>
  <si>
    <t>Additions to content assets</t>
  </si>
  <si>
    <t>provided by (used in) operating activities:</t>
  </si>
  <si>
    <t>Adjustments to reconcile net income to net cash</t>
  </si>
  <si>
    <t>Cash flows from operating activities:</t>
  </si>
  <si>
    <t>(in thousands)</t>
  </si>
  <si>
    <t>Consolidated Statements of Cash Flows</t>
  </si>
  <si>
    <t>% growth</t>
  </si>
  <si>
    <t>Taxes</t>
  </si>
  <si>
    <t>% of sales</t>
  </si>
  <si>
    <t>% of EBIT</t>
  </si>
  <si>
    <t>D&amp;A</t>
  </si>
  <si>
    <t>% of Sales</t>
  </si>
  <si>
    <t>% change in sales</t>
  </si>
  <si>
    <t>Additions to Streaming Content</t>
  </si>
  <si>
    <t>% of CapEx</t>
  </si>
  <si>
    <t>Amortization of Content Library</t>
  </si>
  <si>
    <t>% of additions to streaming content</t>
  </si>
  <si>
    <t>CapEx</t>
  </si>
  <si>
    <t>Change in Net working Capital</t>
  </si>
  <si>
    <t>CDF</t>
  </si>
  <si>
    <t>% Growth</t>
  </si>
  <si>
    <t xml:space="preserve">EBIT </t>
  </si>
  <si>
    <t>Total D&amp;A</t>
  </si>
  <si>
    <t>Capital Expenditures + Additions</t>
  </si>
  <si>
    <t>% Margin</t>
  </si>
  <si>
    <t>x</t>
  </si>
  <si>
    <t>Change in NWC</t>
  </si>
  <si>
    <t>Unlevered Free Cash Flow</t>
  </si>
  <si>
    <t>Conservative Case</t>
  </si>
  <si>
    <t>Base Case</t>
  </si>
  <si>
    <t>Optimistic Case</t>
  </si>
  <si>
    <t>Switches</t>
  </si>
  <si>
    <t>Revenue Growth</t>
  </si>
  <si>
    <t>EBIT Margin</t>
  </si>
  <si>
    <t>WACC</t>
  </si>
  <si>
    <t>TGR</t>
  </si>
  <si>
    <t>Valuation Assumptions</t>
  </si>
  <si>
    <t>DCF Assumptions</t>
  </si>
  <si>
    <t>Optimnistic Case</t>
  </si>
  <si>
    <t>Revenue 2033</t>
  </si>
  <si>
    <t>CapEx 2033</t>
  </si>
  <si>
    <t>As netflix matures, its focus will change from expanding to becoming more profitable, thus revenue grow stalls while EBIT margin grows</t>
  </si>
  <si>
    <t>EBIT 2033</t>
  </si>
  <si>
    <t>EBIT 2023-2024</t>
  </si>
  <si>
    <t>Revenue 2024-2025</t>
  </si>
  <si>
    <t>D&amp;A 2033</t>
  </si>
  <si>
    <t>Present Value of FCF</t>
  </si>
  <si>
    <t>Terminal Value</t>
  </si>
  <si>
    <t>Present Value of Terminal Value</t>
  </si>
  <si>
    <t>Enterprise Value</t>
  </si>
  <si>
    <t>(+) Cash</t>
  </si>
  <si>
    <t>(-) Debt</t>
  </si>
  <si>
    <t>Equity Value</t>
  </si>
  <si>
    <t>Number of Shares</t>
  </si>
  <si>
    <t>Implied Price Per Share</t>
  </si>
  <si>
    <t>TRG</t>
  </si>
  <si>
    <t>Netflix DCF Assumptions</t>
  </si>
  <si>
    <t>Revenue Growth Assumption:</t>
  </si>
  <si>
    <t xml:space="preserve">EBIT Margin Expansion: </t>
  </si>
  <si>
    <t>Tax Rate Application:</t>
  </si>
  <si>
    <t>Capital Expenditures (CapEx):</t>
  </si>
  <si>
    <t xml:space="preserve">Additions to Streaming Content: </t>
  </si>
  <si>
    <t>The forecast for revenue growth is predicated on an extrapolation technique that applies the compound annual growth rate (CAGR) observed over the preceding three-year period to current revenues, ensuring that historical momentum is factored into future projections.</t>
  </si>
  <si>
    <t>The model anticipates a progression in EBIT margins in alignment with the historical five-year trend, reflecting a consistent year-over-year increment. This assumption is made based on Netlix, transitioning into a mature company, will begin to focus on profitability over revenue growth.</t>
  </si>
  <si>
    <t>Netflix's marginal tax rate is identified at 13%. This forecast is then adjusted for the DCF to a 21% terminal tax rate (current US corporate tax rate). The growth is then calculated using the implied CAGR</t>
  </si>
  <si>
    <t xml:space="preserve">Depreciation &amp; Amortization and Amortization of Content Libraries:
</t>
  </si>
  <si>
    <r>
      <t>Netlfix differentiates between D&amp;A of tangible and intangible assets, and further by D&amp;A of its content library. Thus, the total D&amp;A is calculated by summing the two variables. The model assumes total D&amp;A will grow</t>
    </r>
    <r>
      <rPr>
        <sz val="12"/>
        <color theme="1"/>
        <rFont val="Calibri"/>
        <family val="2"/>
        <scheme val="minor"/>
      </rPr>
      <t xml:space="preserve"> </t>
    </r>
    <r>
      <rPr>
        <b/>
        <sz val="12"/>
        <color theme="1"/>
        <rFont val="Calibri"/>
        <family val="2"/>
        <scheme val="minor"/>
      </rPr>
      <t>by the average 5-year historical growth rate</t>
    </r>
  </si>
  <si>
    <t>In the absence of significant historical shifts, the model postulates a stable CapEx margin, calibrated to the five-year historical average.</t>
  </si>
  <si>
    <t>Netlfix differentiates between Capital Expenditure of tangible and intangible assets. Spending on the content library is intangle and is reported separate from 'CapEx' as 'additions to streaming content'. The combined variable is 'Additions to Streaming Content', which is projected to keep a steady decline as Netlfix scales back on it's original projects.</t>
  </si>
  <si>
    <t>EBIDA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</si>
</sst>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0.00_);_(* \(#,##0.00\);_(* &quot;-&quot;??_);_(@_)"/>
    <numFmt numFmtId="164" formatCode="_(&quot;$&quot;* #,##0.00_);_(&quot;$&quot;* \(#,##0.00\);_(&quot;$&quot;* &quot;-&quot;??_);_(@_)"/>
    <numFmt numFmtId="165" formatCode="_(&quot;$&quot;* #,##0_);_(&quot;$&quot;* \(#,##0\);_(&quot;$&quot;* &quot;-&quot;??_);_(@_)"/>
    <numFmt numFmtId="166" formatCode="_([$$-409]* #,##0_);_([$$-409]* \(#,##0\);_([$$-409]* &quot;-&quot;_);_(@_)"/>
    <numFmt numFmtId="167" formatCode="_(* #,##0_);_(* \(#,##0\);_(* &quot;-&quot;??_);_(@_)"/>
    <numFmt numFmtId="168" formatCode="#,##0\ ;\(#,##0.0\)"/>
    <numFmt numFmtId="169" formatCode="&quot;$&quot;* #,###\ ;&quot;$&quot;* \(#,###\);&quot;$&quot;* \-\ "/>
    <numFmt numFmtId="170" formatCode="#,##0.0\ ;\(#,##0.0\)"/>
    <numFmt numFmtId="171" formatCode="0.0%;[Red]\(0.0%\)"/>
    <numFmt numFmtId="172" formatCode="0.0%"/>
    <numFmt numFmtId="173" formatCode="_([$$-409]* #,##0.00_);_([$$-409]* \(#,##0.00\);_([$$-409]* &quot;-&quot;??_);_(@_)"/>
  </numFmts>
  <fonts count="33">
    <font>
      <sz val="12"/>
      <color theme="1"/>
      <name val="Calibri"/>
      <family val="2"/>
      <scheme val="minor"/>
    </font>
    <font>
      <sz val="12"/>
      <color rgb="FF3F3F76"/>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0"/>
      <name val="Arial"/>
      <family val="2"/>
    </font>
    <font>
      <sz val="10"/>
      <name val="Calibri"/>
      <family val="2"/>
    </font>
    <font>
      <b/>
      <sz val="10"/>
      <name val="Calibri"/>
      <family val="2"/>
    </font>
    <font>
      <sz val="10"/>
      <name val="Calibri"/>
      <family val="2"/>
      <scheme val="minor"/>
    </font>
    <font>
      <b/>
      <sz val="10"/>
      <name val="Calibri"/>
      <family val="2"/>
      <scheme val="minor"/>
    </font>
    <font>
      <b/>
      <sz val="25"/>
      <color theme="1"/>
      <name val="Calibri"/>
      <family val="2"/>
      <scheme val="minor"/>
    </font>
    <font>
      <sz val="10"/>
      <name val="Helv"/>
    </font>
    <font>
      <sz val="10"/>
      <color rgb="FF222222"/>
      <name val="Calibri"/>
      <family val="2"/>
      <scheme val="minor"/>
    </font>
    <font>
      <b/>
      <u/>
      <sz val="10"/>
      <name val="Calibri"/>
      <family val="2"/>
      <scheme val="minor"/>
    </font>
    <font>
      <b/>
      <sz val="11"/>
      <name val="Calibri"/>
      <family val="2"/>
      <scheme val="minor"/>
    </font>
    <font>
      <b/>
      <sz val="12"/>
      <name val="Calibri"/>
      <family val="2"/>
      <scheme val="minor"/>
    </font>
    <font>
      <sz val="10"/>
      <color indexed="17"/>
      <name val="Calibri"/>
      <family val="2"/>
      <scheme val="minor"/>
    </font>
    <font>
      <sz val="10"/>
      <color indexed="12"/>
      <name val="Calibri"/>
      <family val="2"/>
      <scheme val="minor"/>
    </font>
    <font>
      <b/>
      <i/>
      <sz val="10"/>
      <name val="Calibri"/>
      <family val="2"/>
      <scheme val="minor"/>
    </font>
    <font>
      <b/>
      <i/>
      <sz val="10"/>
      <color indexed="8"/>
      <name val="Calibri"/>
      <family val="2"/>
      <scheme val="minor"/>
    </font>
    <font>
      <sz val="10"/>
      <color indexed="8"/>
      <name val="Calibri"/>
      <family val="2"/>
      <scheme val="minor"/>
    </font>
    <font>
      <b/>
      <sz val="10"/>
      <color indexed="8"/>
      <name val="Calibri"/>
      <family val="2"/>
      <scheme val="minor"/>
    </font>
    <font>
      <sz val="12"/>
      <color rgb="FF000000"/>
      <name val="Calibri"/>
      <family val="2"/>
      <scheme val="minor"/>
    </font>
    <font>
      <sz val="12"/>
      <color theme="9"/>
      <name val="Calibri"/>
      <family val="2"/>
      <scheme val="minor"/>
    </font>
    <font>
      <sz val="12"/>
      <color theme="1"/>
      <name val="Calibri"/>
      <family val="2"/>
      <scheme val="minor"/>
    </font>
    <font>
      <b/>
      <sz val="12"/>
      <color theme="9"/>
      <name val="Calibri"/>
      <family val="2"/>
      <scheme val="minor"/>
    </font>
    <font>
      <i/>
      <sz val="12"/>
      <color theme="1"/>
      <name val="Calibri"/>
      <family val="2"/>
      <scheme val="minor"/>
    </font>
    <font>
      <b/>
      <i/>
      <sz val="12"/>
      <color theme="1"/>
      <name val="Calibri"/>
      <family val="2"/>
      <scheme val="minor"/>
    </font>
    <font>
      <sz val="12"/>
      <color rgb="FF7030A0"/>
      <name val="Calibri"/>
      <family val="2"/>
      <scheme val="minor"/>
    </font>
    <font>
      <b/>
      <sz val="13"/>
      <color rgb="FF000000"/>
      <name val="Calibri"/>
      <family val="2"/>
      <scheme val="minor"/>
    </font>
    <font>
      <sz val="13"/>
      <color rgb="FF000000"/>
      <name val="Calibri"/>
      <family val="2"/>
      <scheme val="minor"/>
    </font>
    <font>
      <sz val="13"/>
      <color theme="1"/>
      <name val="Calibri"/>
      <family val="2"/>
      <scheme val="minor"/>
    </font>
    <font>
      <b/>
      <sz val="16"/>
      <color theme="1"/>
      <name val="Arial"/>
      <family val="2"/>
    </font>
  </fonts>
  <fills count="5">
    <fill>
      <patternFill patternType="none"/>
    </fill>
    <fill>
      <patternFill patternType="gray125"/>
    </fill>
    <fill>
      <patternFill patternType="solid">
        <fgColor rgb="FFFFCC99"/>
      </patternFill>
    </fill>
    <fill>
      <patternFill patternType="solid">
        <fgColor theme="6"/>
      </patternFill>
    </fill>
    <fill>
      <patternFill patternType="solid">
        <fgColor theme="0" tint="-0.249977111117893"/>
        <bgColor indexed="64"/>
      </patternFill>
    </fill>
  </fills>
  <borders count="15">
    <border>
      <left/>
      <right/>
      <top/>
      <bottom/>
      <diagonal/>
    </border>
    <border>
      <left style="thin">
        <color rgb="FF7F7F7F"/>
      </left>
      <right style="thin">
        <color rgb="FF7F7F7F"/>
      </right>
      <top style="thin">
        <color rgb="FF7F7F7F"/>
      </top>
      <bottom style="thin">
        <color rgb="FF7F7F7F"/>
      </bottom>
      <diagonal/>
    </border>
    <border>
      <left/>
      <right/>
      <top style="thin">
        <color indexed="64"/>
      </top>
      <bottom style="medium">
        <color indexed="64"/>
      </bottom>
      <diagonal/>
    </border>
    <border>
      <left/>
      <right/>
      <top/>
      <bottom style="thin">
        <color indexed="64"/>
      </bottom>
      <diagonal/>
    </border>
    <border>
      <left/>
      <right/>
      <top style="thin">
        <color auto="1"/>
      </top>
      <bottom/>
      <diagonal/>
    </border>
    <border>
      <left/>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rgb="FF7F7F7F"/>
      </left>
      <right style="thin">
        <color rgb="FF7F7F7F"/>
      </right>
      <top/>
      <bottom/>
      <diagonal/>
    </border>
  </borders>
  <cellStyleXfs count="9">
    <xf numFmtId="0" fontId="0" fillId="0" borderId="0"/>
    <xf numFmtId="0" fontId="1" fillId="2" borderId="1" applyNumberFormat="0" applyAlignment="0" applyProtection="0"/>
    <xf numFmtId="0" fontId="4" fillId="3" borderId="0" applyNumberFormat="0" applyBorder="0" applyAlignment="0" applyProtection="0"/>
    <xf numFmtId="0" fontId="5" fillId="0" borderId="0"/>
    <xf numFmtId="0" fontId="11" fillId="0" borderId="0"/>
    <xf numFmtId="43" fontId="5" fillId="0" borderId="0" applyFont="0" applyFill="0" applyBorder="0" applyAlignment="0" applyProtection="0"/>
    <xf numFmtId="164" fontId="5" fillId="0" borderId="0" applyFont="0" applyFill="0" applyBorder="0" applyAlignment="0" applyProtection="0"/>
    <xf numFmtId="0" fontId="11" fillId="0" borderId="0"/>
    <xf numFmtId="9" fontId="5" fillId="0" borderId="0" applyFont="0" applyFill="0" applyBorder="0" applyAlignment="0" applyProtection="0"/>
  </cellStyleXfs>
  <cellXfs count="127">
    <xf numFmtId="0" fontId="0" fillId="0" borderId="0" xfId="0"/>
    <xf numFmtId="166" fontId="0" fillId="0" borderId="0" xfId="0" applyNumberFormat="1"/>
    <xf numFmtId="167" fontId="7" fillId="4" borderId="0" xfId="3" applyNumberFormat="1" applyFont="1" applyFill="1"/>
    <xf numFmtId="167" fontId="8" fillId="0" borderId="0" xfId="3" applyNumberFormat="1" applyFont="1"/>
    <xf numFmtId="0" fontId="0" fillId="0" borderId="3" xfId="0" applyBorder="1"/>
    <xf numFmtId="0" fontId="10" fillId="0" borderId="3" xfId="0" applyFont="1" applyBorder="1"/>
    <xf numFmtId="0" fontId="8" fillId="0" borderId="0" xfId="3" applyFont="1"/>
    <xf numFmtId="3" fontId="8" fillId="0" borderId="0" xfId="3" applyNumberFormat="1" applyFont="1"/>
    <xf numFmtId="0" fontId="8" fillId="0" borderId="0" xfId="4" applyFont="1"/>
    <xf numFmtId="0" fontId="12" fillId="0" borderId="0" xfId="3" applyFont="1"/>
    <xf numFmtId="0" fontId="8" fillId="0" borderId="0" xfId="4" applyFont="1" applyAlignment="1">
      <alignment horizontal="right"/>
    </xf>
    <xf numFmtId="167" fontId="9" fillId="4" borderId="0" xfId="5" applyNumberFormat="1" applyFont="1" applyFill="1"/>
    <xf numFmtId="0" fontId="9" fillId="4" borderId="0" xfId="3" applyFont="1" applyFill="1"/>
    <xf numFmtId="0" fontId="9" fillId="0" borderId="0" xfId="3" applyFont="1"/>
    <xf numFmtId="164" fontId="9" fillId="4" borderId="0" xfId="6" applyFont="1" applyFill="1"/>
    <xf numFmtId="164" fontId="8" fillId="0" borderId="0" xfId="6" applyFont="1" applyFill="1" applyBorder="1"/>
    <xf numFmtId="164" fontId="9" fillId="4" borderId="0" xfId="6" applyFont="1" applyFill="1" applyBorder="1"/>
    <xf numFmtId="168" fontId="9" fillId="4" borderId="0" xfId="3" applyNumberFormat="1" applyFont="1" applyFill="1"/>
    <xf numFmtId="168" fontId="9" fillId="0" borderId="0" xfId="3" applyNumberFormat="1" applyFont="1"/>
    <xf numFmtId="168" fontId="8" fillId="0" borderId="0" xfId="3" applyNumberFormat="1" applyFont="1"/>
    <xf numFmtId="165" fontId="9" fillId="4" borderId="2" xfId="6" applyNumberFormat="1" applyFont="1" applyFill="1" applyBorder="1"/>
    <xf numFmtId="165" fontId="8" fillId="0" borderId="2" xfId="6" applyNumberFormat="1" applyFont="1" applyFill="1" applyBorder="1"/>
    <xf numFmtId="167" fontId="8" fillId="0" borderId="3" xfId="3" applyNumberFormat="1" applyFont="1" applyBorder="1"/>
    <xf numFmtId="167" fontId="9" fillId="4" borderId="4" xfId="3" applyNumberFormat="1" applyFont="1" applyFill="1" applyBorder="1"/>
    <xf numFmtId="167" fontId="8" fillId="0" borderId="4" xfId="3" applyNumberFormat="1" applyFont="1" applyBorder="1"/>
    <xf numFmtId="167" fontId="9" fillId="4" borderId="0" xfId="3" applyNumberFormat="1" applyFont="1" applyFill="1"/>
    <xf numFmtId="167" fontId="9" fillId="0" borderId="0" xfId="3" applyNumberFormat="1" applyFont="1"/>
    <xf numFmtId="3" fontId="6" fillId="0" borderId="0" xfId="3" applyNumberFormat="1" applyFont="1" applyAlignment="1">
      <alignment horizontal="right" wrapText="1"/>
    </xf>
    <xf numFmtId="3" fontId="6" fillId="0" borderId="3" xfId="3" applyNumberFormat="1" applyFont="1" applyBorder="1" applyAlignment="1">
      <alignment horizontal="right" wrapText="1"/>
    </xf>
    <xf numFmtId="165" fontId="7" fillId="4" borderId="0" xfId="6" applyNumberFormat="1" applyFont="1" applyFill="1" applyBorder="1" applyAlignment="1">
      <alignment horizontal="right"/>
    </xf>
    <xf numFmtId="165" fontId="6" fillId="0" borderId="0" xfId="6" applyNumberFormat="1" applyFont="1" applyBorder="1" applyAlignment="1">
      <alignment horizontal="right"/>
    </xf>
    <xf numFmtId="165" fontId="6" fillId="0" borderId="0" xfId="6" applyNumberFormat="1" applyFont="1" applyFill="1" applyBorder="1" applyAlignment="1">
      <alignment horizontal="right"/>
    </xf>
    <xf numFmtId="0" fontId="13" fillId="4" borderId="0" xfId="4" applyFont="1" applyFill="1" applyAlignment="1">
      <alignment horizontal="center"/>
    </xf>
    <xf numFmtId="0" fontId="13" fillId="0" borderId="0" xfId="4" applyFont="1" applyAlignment="1">
      <alignment horizontal="center"/>
    </xf>
    <xf numFmtId="170" fontId="9" fillId="4" borderId="0" xfId="4" applyNumberFormat="1" applyFont="1" applyFill="1" applyAlignment="1">
      <alignment horizontal="center"/>
    </xf>
    <xf numFmtId="170" fontId="9" fillId="0" borderId="0" xfId="4" applyNumberFormat="1" applyFont="1" applyAlignment="1">
      <alignment horizontal="center"/>
    </xf>
    <xf numFmtId="170" fontId="13" fillId="4" borderId="0" xfId="4" applyNumberFormat="1" applyFont="1" applyFill="1" applyAlignment="1">
      <alignment horizontal="center"/>
    </xf>
    <xf numFmtId="0" fontId="14" fillId="0" borderId="0" xfId="4" applyFont="1"/>
    <xf numFmtId="0" fontId="15" fillId="0" borderId="0" xfId="4" applyFont="1"/>
    <xf numFmtId="169" fontId="9" fillId="4" borderId="2" xfId="7" applyNumberFormat="1" applyFont="1" applyFill="1" applyBorder="1"/>
    <xf numFmtId="169" fontId="8" fillId="0" borderId="2" xfId="7" applyNumberFormat="1" applyFont="1" applyBorder="1"/>
    <xf numFmtId="0" fontId="9" fillId="0" borderId="0" xfId="7" applyFont="1"/>
    <xf numFmtId="0" fontId="9" fillId="0" borderId="0" xfId="4" applyFont="1"/>
    <xf numFmtId="167" fontId="16" fillId="0" borderId="0" xfId="5" applyNumberFormat="1" applyFont="1" applyFill="1" applyBorder="1"/>
    <xf numFmtId="167" fontId="9" fillId="4" borderId="0" xfId="5" applyNumberFormat="1" applyFont="1" applyFill="1" applyBorder="1"/>
    <xf numFmtId="167" fontId="8" fillId="0" borderId="0" xfId="5" applyNumberFormat="1" applyFont="1" applyFill="1"/>
    <xf numFmtId="0" fontId="8" fillId="0" borderId="0" xfId="7" applyFont="1"/>
    <xf numFmtId="167" fontId="17" fillId="0" borderId="0" xfId="5" applyNumberFormat="1" applyFont="1" applyFill="1" applyBorder="1"/>
    <xf numFmtId="165" fontId="9" fillId="4" borderId="0" xfId="6" applyNumberFormat="1" applyFont="1" applyFill="1" applyBorder="1"/>
    <xf numFmtId="169" fontId="8" fillId="0" borderId="0" xfId="5" applyNumberFormat="1" applyFont="1" applyFill="1" applyBorder="1"/>
    <xf numFmtId="171" fontId="18" fillId="0" borderId="0" xfId="4" applyNumberFormat="1" applyFont="1"/>
    <xf numFmtId="0" fontId="9" fillId="4" borderId="0" xfId="7" applyFont="1" applyFill="1"/>
    <xf numFmtId="171" fontId="9" fillId="0" borderId="0" xfId="4" applyNumberFormat="1" applyFont="1"/>
    <xf numFmtId="171" fontId="19" fillId="0" borderId="0" xfId="8" applyNumberFormat="1" applyFont="1" applyFill="1" applyBorder="1"/>
    <xf numFmtId="169" fontId="9" fillId="4" borderId="2" xfId="5" applyNumberFormat="1" applyFont="1" applyFill="1" applyBorder="1"/>
    <xf numFmtId="169" fontId="8" fillId="0" borderId="2" xfId="5" applyNumberFormat="1" applyFont="1" applyFill="1" applyBorder="1"/>
    <xf numFmtId="169" fontId="8" fillId="0" borderId="0" xfId="7" applyNumberFormat="1" applyFont="1"/>
    <xf numFmtId="167" fontId="8" fillId="0" borderId="0" xfId="5" applyNumberFormat="1" applyFont="1" applyFill="1" applyBorder="1"/>
    <xf numFmtId="167" fontId="20" fillId="0" borderId="0" xfId="5" applyNumberFormat="1" applyFont="1" applyFill="1" applyBorder="1"/>
    <xf numFmtId="167" fontId="9" fillId="4" borderId="5" xfId="5" applyNumberFormat="1" applyFont="1" applyFill="1" applyBorder="1"/>
    <xf numFmtId="167" fontId="8" fillId="0" borderId="5" xfId="5" applyNumberFormat="1" applyFont="1" applyFill="1" applyBorder="1"/>
    <xf numFmtId="167" fontId="21" fillId="0" borderId="0" xfId="5" applyNumberFormat="1" applyFont="1" applyFill="1" applyBorder="1"/>
    <xf numFmtId="167" fontId="8" fillId="0" borderId="3" xfId="5" applyNumberFormat="1" applyFont="1" applyFill="1" applyBorder="1"/>
    <xf numFmtId="167" fontId="9" fillId="0" borderId="0" xfId="5" applyNumberFormat="1" applyFont="1" applyFill="1" applyBorder="1"/>
    <xf numFmtId="1" fontId="13" fillId="4" borderId="0" xfId="4" applyNumberFormat="1" applyFont="1" applyFill="1" applyAlignment="1">
      <alignment horizontal="center"/>
    </xf>
    <xf numFmtId="170" fontId="13" fillId="4" borderId="0" xfId="4" applyNumberFormat="1" applyFont="1" applyFill="1" applyAlignment="1">
      <alignment horizontal="center" wrapText="1"/>
    </xf>
    <xf numFmtId="0" fontId="0" fillId="0" borderId="0" xfId="0" applyAlignment="1">
      <alignment wrapText="1"/>
    </xf>
    <xf numFmtId="0" fontId="4" fillId="3" borderId="0" xfId="2"/>
    <xf numFmtId="0" fontId="22" fillId="0" borderId="0" xfId="0" applyFont="1"/>
    <xf numFmtId="166" fontId="0" fillId="0" borderId="0" xfId="0" applyNumberFormat="1" applyAlignment="1">
      <alignment wrapText="1"/>
    </xf>
    <xf numFmtId="172" fontId="0" fillId="0" borderId="0" xfId="0" applyNumberFormat="1"/>
    <xf numFmtId="172" fontId="22" fillId="0" borderId="0" xfId="0" applyNumberFormat="1" applyFont="1"/>
    <xf numFmtId="166" fontId="23" fillId="0" borderId="0" xfId="0" applyNumberFormat="1" applyFont="1"/>
    <xf numFmtId="0" fontId="1" fillId="2" borderId="1" xfId="1" applyAlignment="1">
      <alignment horizontal="center" vertical="center"/>
    </xf>
    <xf numFmtId="14" fontId="1" fillId="2" borderId="1" xfId="1" applyNumberFormat="1" applyAlignment="1">
      <alignment horizontal="center" vertical="center"/>
    </xf>
    <xf numFmtId="0" fontId="3" fillId="0" borderId="0" xfId="0" applyFont="1"/>
    <xf numFmtId="0" fontId="2" fillId="3" borderId="0" xfId="2" applyFont="1"/>
    <xf numFmtId="172" fontId="0" fillId="0" borderId="0" xfId="0" applyNumberFormat="1" applyAlignment="1">
      <alignment horizontal="left" vertical="top"/>
    </xf>
    <xf numFmtId="166" fontId="0" fillId="0" borderId="0" xfId="0" applyNumberFormat="1" applyAlignment="1">
      <alignment horizontal="left" vertical="top"/>
    </xf>
    <xf numFmtId="166" fontId="0" fillId="0" borderId="0" xfId="0" applyNumberFormat="1" applyAlignment="1">
      <alignment horizontal="left"/>
    </xf>
    <xf numFmtId="166" fontId="22" fillId="0" borderId="0" xfId="0" applyNumberFormat="1" applyFont="1"/>
    <xf numFmtId="166" fontId="3" fillId="0" borderId="7" xfId="0" applyNumberFormat="1" applyFont="1" applyBorder="1" applyAlignment="1">
      <alignment horizontal="left" vertical="top"/>
    </xf>
    <xf numFmtId="166" fontId="25" fillId="0" borderId="4" xfId="0" applyNumberFormat="1" applyFont="1" applyBorder="1"/>
    <xf numFmtId="166" fontId="3" fillId="0" borderId="4" xfId="0" applyNumberFormat="1" applyFont="1" applyBorder="1"/>
    <xf numFmtId="166" fontId="3" fillId="0" borderId="8" xfId="0" applyNumberFormat="1" applyFont="1" applyBorder="1"/>
    <xf numFmtId="172" fontId="3" fillId="0" borderId="11" xfId="0" applyNumberFormat="1" applyFont="1" applyBorder="1" applyAlignment="1">
      <alignment horizontal="left" vertical="top"/>
    </xf>
    <xf numFmtId="172" fontId="3" fillId="0" borderId="9" xfId="0" applyNumberFormat="1" applyFont="1" applyBorder="1" applyAlignment="1">
      <alignment horizontal="left" vertical="top"/>
    </xf>
    <xf numFmtId="166" fontId="3" fillId="0" borderId="7" xfId="0" applyNumberFormat="1" applyFont="1" applyBorder="1"/>
    <xf numFmtId="172" fontId="3" fillId="0" borderId="9" xfId="0" applyNumberFormat="1" applyFont="1" applyBorder="1"/>
    <xf numFmtId="172" fontId="26" fillId="0" borderId="0" xfId="0" applyNumberFormat="1" applyFont="1"/>
    <xf numFmtId="172" fontId="27" fillId="0" borderId="0" xfId="0" applyNumberFormat="1" applyFont="1"/>
    <xf numFmtId="172" fontId="27" fillId="0" borderId="12" xfId="0" applyNumberFormat="1" applyFont="1" applyBorder="1"/>
    <xf numFmtId="172" fontId="27" fillId="0" borderId="3" xfId="0" applyNumberFormat="1" applyFont="1" applyBorder="1"/>
    <xf numFmtId="172" fontId="27" fillId="0" borderId="10" xfId="0" applyNumberFormat="1" applyFont="1" applyBorder="1"/>
    <xf numFmtId="166" fontId="28" fillId="0" borderId="0" xfId="0" applyNumberFormat="1" applyFont="1"/>
    <xf numFmtId="0" fontId="26" fillId="0" borderId="0" xfId="0" applyFont="1"/>
    <xf numFmtId="0" fontId="0" fillId="0" borderId="13" xfId="0" applyBorder="1"/>
    <xf numFmtId="0" fontId="0" fillId="0" borderId="5" xfId="0" applyBorder="1"/>
    <xf numFmtId="172" fontId="1" fillId="2" borderId="1" xfId="1" applyNumberFormat="1"/>
    <xf numFmtId="172" fontId="24" fillId="2" borderId="1" xfId="1" applyNumberFormat="1" applyFont="1"/>
    <xf numFmtId="0" fontId="29" fillId="0" borderId="0" xfId="0" applyFont="1"/>
    <xf numFmtId="0" fontId="30" fillId="0" borderId="0" xfId="0" applyFont="1"/>
    <xf numFmtId="0" fontId="1" fillId="2" borderId="1" xfId="1" applyNumberFormat="1"/>
    <xf numFmtId="9" fontId="24" fillId="2" borderId="1" xfId="1" applyNumberFormat="1" applyFont="1"/>
    <xf numFmtId="0" fontId="24" fillId="2" borderId="1" xfId="1" applyNumberFormat="1" applyFont="1"/>
    <xf numFmtId="10" fontId="24" fillId="2" borderId="1" xfId="1" applyNumberFormat="1" applyFont="1"/>
    <xf numFmtId="172" fontId="28" fillId="2" borderId="1" xfId="1" applyNumberFormat="1" applyFont="1"/>
    <xf numFmtId="173" fontId="0" fillId="0" borderId="0" xfId="0" applyNumberFormat="1"/>
    <xf numFmtId="166" fontId="0" fillId="0" borderId="13" xfId="0" applyNumberFormat="1" applyBorder="1"/>
    <xf numFmtId="166" fontId="0" fillId="0" borderId="5" xfId="0" applyNumberFormat="1" applyBorder="1"/>
    <xf numFmtId="9" fontId="0" fillId="0" borderId="0" xfId="0" applyNumberFormat="1"/>
    <xf numFmtId="0" fontId="31" fillId="0" borderId="0" xfId="0" applyFont="1"/>
    <xf numFmtId="3" fontId="0" fillId="0" borderId="0" xfId="0" applyNumberFormat="1"/>
    <xf numFmtId="173" fontId="3" fillId="0" borderId="6" xfId="0" applyNumberFormat="1" applyFont="1" applyBorder="1"/>
    <xf numFmtId="0" fontId="24" fillId="2" borderId="14" xfId="1" applyNumberFormat="1" applyFont="1" applyBorder="1"/>
    <xf numFmtId="0" fontId="32" fillId="0" borderId="0" xfId="0" applyFont="1" applyAlignment="1">
      <alignment horizontal="left" vertical="center"/>
    </xf>
    <xf numFmtId="0" fontId="3" fillId="0" borderId="0" xfId="0" applyFont="1" applyAlignment="1">
      <alignment horizontal="left" vertical="center"/>
    </xf>
    <xf numFmtId="0" fontId="0" fillId="0" borderId="0" xfId="0" applyAlignment="1">
      <alignment horizontal="left" vertical="center"/>
    </xf>
    <xf numFmtId="0" fontId="0" fillId="0" borderId="3" xfId="0" applyBorder="1" applyAlignment="1">
      <alignment wrapText="1"/>
    </xf>
    <xf numFmtId="0" fontId="3" fillId="0" borderId="0" xfId="0" applyFont="1" applyAlignment="1">
      <alignment wrapText="1"/>
    </xf>
    <xf numFmtId="0" fontId="3" fillId="0" borderId="0" xfId="0" applyFont="1" applyAlignment="1">
      <alignment horizontal="left" vertical="center" wrapText="1"/>
    </xf>
    <xf numFmtId="0" fontId="3" fillId="0" borderId="0" xfId="0" applyFont="1" applyAlignment="1">
      <alignment horizontal="left" vertical="top" wrapText="1"/>
    </xf>
    <xf numFmtId="0" fontId="0" fillId="0" borderId="0" xfId="0" applyAlignment="1">
      <alignment horizontal="left" vertical="center" wrapText="1"/>
    </xf>
    <xf numFmtId="0" fontId="32" fillId="0" borderId="0" xfId="0" applyFont="1" applyAlignment="1">
      <alignment horizontal="left" vertical="center" wrapText="1"/>
    </xf>
    <xf numFmtId="170" fontId="13" fillId="0" borderId="0" xfId="4" applyNumberFormat="1" applyFont="1" applyAlignment="1">
      <alignment horizontal="center" wrapText="1"/>
    </xf>
    <xf numFmtId="170" fontId="13" fillId="0" borderId="0" xfId="4" applyNumberFormat="1" applyFont="1" applyAlignment="1">
      <alignment horizontal="center"/>
    </xf>
    <xf numFmtId="0" fontId="13" fillId="0" borderId="0" xfId="3" applyFont="1" applyAlignment="1">
      <alignment horizontal="center"/>
    </xf>
  </cellXfs>
  <cellStyles count="9">
    <cellStyle name="Accent3" xfId="2" builtinId="37"/>
    <cellStyle name="Comma 2" xfId="5" xr:uid="{E273096D-EF0B-4046-B1B0-C8EF19D40821}"/>
    <cellStyle name="Currency 2" xfId="6" xr:uid="{DFC69F9F-B746-C34D-AD6D-3FD59DEA8511}"/>
    <cellStyle name="Input" xfId="1" builtinId="20"/>
    <cellStyle name="Normal" xfId="0" builtinId="0"/>
    <cellStyle name="Normal 2" xfId="3" xr:uid="{8CDE626B-4FB2-BC44-B9BC-F026ACAD991B}"/>
    <cellStyle name="Normal_BalanceSheets" xfId="7" xr:uid="{AA9CA185-D7ED-C44A-B52F-27CEC1F0DE3A}"/>
    <cellStyle name="Normal_Income Statements" xfId="4" xr:uid="{49BF562D-B924-D740-B273-9DCF10377F08}"/>
    <cellStyle name="Percent 10" xfId="8" xr:uid="{7992D874-18C4-F24A-8AD0-544BFDEF18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theme" Target="theme/theme1.xml"/><Relationship Id="rId5" Type="http://schemas.openxmlformats.org/officeDocument/2006/relationships/externalLink" Target="externalLinks/externalLink1.xml"/><Relationship Id="rId15" Type="http://schemas.microsoft.com/office/2017/10/relationships/person" Target="persons/person.xml"/><Relationship Id="rId10"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sheetMetadata" Target="metadata.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cpitgcfs06/mercury/WINNT/Profiles/krishi/LOCALS~1/Temp/Johncon%20BLT%20(11-2-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brittanyd/Documents/5%25%20Test/Mightyducks/Finance/Corp%20Finance/Stock/FY01/FY97/CSPIC96.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Users/jmacaraeg/Google%20Drive/00%20-%20Hard%20Drive/CFO%20Slide/Content%20REC/2015-Q3/ER%20book.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ebarclay/Downloads/Consolidated%20Balance%20Shee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nighthawk/orglic1/Mickr/Reporting/WWDashboard/WW%20Org%20Lic%20Scoreboard-AUG%20munge.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brittanyd/Documents/5%25%20Test/J:/Wrldwide/MSFin/Flash/FLASH.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vsum - trend"/>
      <sheetName val="Cover"/>
      <sheetName val="Market Cap"/>
      <sheetName val="Mkt cap data"/>
      <sheetName val="Comp summary"/>
      <sheetName val="Growth summary"/>
      <sheetName val="MS"/>
      <sheetName val="Oracle"/>
      <sheetName val="Sun"/>
      <sheetName val="AOL"/>
      <sheetName val="IBM"/>
      <sheetName val="Yahoo"/>
      <sheetName val="October"/>
      <sheetName val="AugP&amp;L"/>
      <sheetName val="Implied Sept"/>
      <sheetName val="Sheet1"/>
      <sheetName val="October allocated"/>
      <sheetName val="Oct revsum"/>
      <sheetName val="Annuity alloc"/>
      <sheetName val="FY01"/>
      <sheetName val="Comm by area"/>
      <sheetName val="EndNotes"/>
      <sheetName val="USd to Pounds and Euros"/>
      <sheetName val="USD to BRL"/>
      <sheetName val="Sheet2"/>
      <sheetName val="PopCache_Sheet1"/>
      <sheetName val="BneLog"/>
      <sheetName val="A- Cover"/>
      <sheetName val="Review Checklist"/>
      <sheetName val="B- GL"/>
      <sheetName val="C- Subledger"/>
      <sheetName val="D- DR Schedules"/>
      <sheetName val="E- Rent Roll"/>
      <sheetName val="E-Rent Roll"/>
      <sheetName val="90 Albright Extension"/>
      <sheetName val="Beverly Hill - Amend #7"/>
      <sheetName val="E- July 2013 Rent Roll"/>
      <sheetName val="E- S2013 Rent Roll"/>
      <sheetName val="F- Beverly Hill - Combined"/>
      <sheetName val="G- OPEN TI ALLOWANCES"/>
      <sheetName val="E- Jan Rent"/>
      <sheetName val="F- TI"/>
      <sheetName val="G- BH 317 adjustment"/>
      <sheetName val="E- feb15 Rent"/>
      <sheetName val="H- A&amp;B Support"/>
      <sheetName val="F- Washington DC Lease 2 - Adj "/>
      <sheetName val="G- TI Support for 354 "/>
      <sheetName val="F- 358 TI "/>
      <sheetName val="F- TI support"/>
      <sheetName val="F- Updated 395 Schd."/>
      <sheetName val="E - APR 15 Rent"/>
      <sheetName val="H- updated A&amp;B"/>
      <sheetName val="E-May Ren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y 96"/>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
      <sheetName val="Income St Comparable"/>
      <sheetName val="Revenue Comp"/>
      <sheetName val="Income St Sequential"/>
      <sheetName val="Pro forma"/>
      <sheetName val="Source Formulas"/>
      <sheetName val="GAAP Summary"/>
      <sheetName val="Comp Qtrs W-O 1 time items"/>
      <sheetName val="A"/>
    </sheetNames>
    <sheetDataSet>
      <sheetData sheetId="0" refreshError="1">
        <row r="5">
          <cell r="F5" t="str">
            <v>Actuals - Penultimate-1 Fiscal Year</v>
          </cell>
          <cell r="J5" t="str">
            <v>Actuals - Penultimate Fiscal Year</v>
          </cell>
          <cell r="N5" t="str">
            <v>Actuals - Prior Fiscal Year</v>
          </cell>
          <cell r="R5" t="str">
            <v>Actuals - Current Fiscal Year</v>
          </cell>
        </row>
        <row r="6">
          <cell r="J6">
            <v>1</v>
          </cell>
          <cell r="K6">
            <v>2</v>
          </cell>
          <cell r="L6">
            <v>3</v>
          </cell>
          <cell r="M6">
            <v>4</v>
          </cell>
          <cell r="N6">
            <v>5</v>
          </cell>
          <cell r="O6">
            <v>6</v>
          </cell>
          <cell r="P6">
            <v>7</v>
          </cell>
          <cell r="Q6">
            <v>8</v>
          </cell>
          <cell r="R6">
            <v>9</v>
          </cell>
          <cell r="S6">
            <v>10</v>
          </cell>
          <cell r="T6">
            <v>11</v>
          </cell>
          <cell r="U6">
            <v>12</v>
          </cell>
        </row>
        <row r="7">
          <cell r="F7" t="str">
            <v>Q99-1</v>
          </cell>
          <cell r="G7" t="str">
            <v>Q99-2</v>
          </cell>
          <cell r="H7" t="str">
            <v>Q99-3</v>
          </cell>
          <cell r="I7" t="str">
            <v>Q99-4</v>
          </cell>
          <cell r="J7" t="str">
            <v>Q00-1</v>
          </cell>
          <cell r="K7" t="str">
            <v>Q00-2</v>
          </cell>
          <cell r="L7" t="str">
            <v>Q00-3</v>
          </cell>
          <cell r="M7" t="str">
            <v>Q00-4</v>
          </cell>
          <cell r="N7" t="str">
            <v>Q01-1</v>
          </cell>
          <cell r="O7" t="str">
            <v>Q01-2</v>
          </cell>
          <cell r="P7" t="str">
            <v>Q01-3</v>
          </cell>
          <cell r="Q7" t="str">
            <v>Q01-4</v>
          </cell>
          <cell r="R7">
            <v>37164</v>
          </cell>
          <cell r="S7">
            <v>37256</v>
          </cell>
          <cell r="T7">
            <v>37346</v>
          </cell>
          <cell r="U7">
            <v>37437</v>
          </cell>
        </row>
        <row r="9">
          <cell r="F9">
            <v>4193</v>
          </cell>
          <cell r="G9">
            <v>5195</v>
          </cell>
          <cell r="H9">
            <v>4595</v>
          </cell>
          <cell r="I9">
            <v>5764</v>
          </cell>
          <cell r="J9">
            <v>5384</v>
          </cell>
          <cell r="K9">
            <v>6112</v>
          </cell>
          <cell r="L9">
            <v>5656</v>
          </cell>
          <cell r="M9">
            <v>5804</v>
          </cell>
          <cell r="N9">
            <v>5766</v>
          </cell>
          <cell r="O9">
            <v>6550</v>
          </cell>
          <cell r="P9">
            <v>6403</v>
          </cell>
          <cell r="Q9">
            <v>6577</v>
          </cell>
          <cell r="R9">
            <v>6126</v>
          </cell>
          <cell r="S9">
            <v>7741</v>
          </cell>
          <cell r="T9">
            <v>7245</v>
          </cell>
        </row>
        <row r="10">
          <cell r="F10">
            <v>649</v>
          </cell>
          <cell r="G10">
            <v>788</v>
          </cell>
          <cell r="H10">
            <v>708</v>
          </cell>
          <cell r="I10">
            <v>669</v>
          </cell>
          <cell r="J10">
            <v>712</v>
          </cell>
          <cell r="K10">
            <v>756</v>
          </cell>
          <cell r="L10">
            <v>752</v>
          </cell>
          <cell r="M10">
            <v>782</v>
          </cell>
          <cell r="N10">
            <v>825</v>
          </cell>
          <cell r="O10">
            <v>864</v>
          </cell>
          <cell r="P10">
            <v>899</v>
          </cell>
          <cell r="Q10">
            <v>867</v>
          </cell>
          <cell r="R10">
            <v>884</v>
          </cell>
          <cell r="S10">
            <v>1544</v>
          </cell>
          <cell r="T10">
            <v>1395</v>
          </cell>
        </row>
        <row r="11">
          <cell r="F11">
            <v>3544</v>
          </cell>
          <cell r="G11">
            <v>4407</v>
          </cell>
          <cell r="H11">
            <v>3887</v>
          </cell>
          <cell r="I11">
            <v>5095</v>
          </cell>
          <cell r="J11">
            <v>4672</v>
          </cell>
          <cell r="K11">
            <v>5356</v>
          </cell>
          <cell r="L11">
            <v>4904</v>
          </cell>
          <cell r="M11">
            <v>5022</v>
          </cell>
          <cell r="N11">
            <v>4941</v>
          </cell>
          <cell r="O11">
            <v>5686</v>
          </cell>
          <cell r="P11">
            <v>5504</v>
          </cell>
          <cell r="Q11">
            <v>5710</v>
          </cell>
          <cell r="R11">
            <v>5242</v>
          </cell>
          <cell r="S11">
            <v>6197</v>
          </cell>
          <cell r="T11">
            <v>5850</v>
          </cell>
          <cell r="U11">
            <v>0</v>
          </cell>
        </row>
        <row r="12">
          <cell r="F12">
            <v>0.15478177915573574</v>
          </cell>
          <cell r="G12">
            <v>0.15168431183830605</v>
          </cell>
          <cell r="H12">
            <v>0.15408052230685529</v>
          </cell>
          <cell r="I12">
            <v>0.11606523247744621</v>
          </cell>
          <cell r="J12">
            <v>0.13224368499257058</v>
          </cell>
          <cell r="K12">
            <v>0.12369109947643979</v>
          </cell>
          <cell r="L12">
            <v>0.13295615275813297</v>
          </cell>
          <cell r="M12">
            <v>0.13473466574776016</v>
          </cell>
          <cell r="N12">
            <v>0.14308012486992716</v>
          </cell>
          <cell r="O12">
            <v>0.13190839694656489</v>
          </cell>
          <cell r="P12">
            <v>0.14040293612369201</v>
          </cell>
          <cell r="Q12">
            <v>0.13182301961380569</v>
          </cell>
          <cell r="R12">
            <v>0.14430297094351943</v>
          </cell>
          <cell r="S12">
            <v>0.19945743443999484</v>
          </cell>
        </row>
        <row r="13">
          <cell r="F13">
            <v>651</v>
          </cell>
          <cell r="G13">
            <v>715</v>
          </cell>
          <cell r="H13">
            <v>664</v>
          </cell>
          <cell r="I13">
            <v>940</v>
          </cell>
          <cell r="J13">
            <v>813</v>
          </cell>
          <cell r="K13">
            <v>898</v>
          </cell>
          <cell r="L13">
            <v>974</v>
          </cell>
          <cell r="M13">
            <v>1087</v>
          </cell>
          <cell r="N13">
            <v>956</v>
          </cell>
          <cell r="O13">
            <v>990</v>
          </cell>
          <cell r="P13">
            <v>1069</v>
          </cell>
          <cell r="Q13">
            <v>1364</v>
          </cell>
          <cell r="R13">
            <v>1013</v>
          </cell>
          <cell r="S13">
            <v>1044</v>
          </cell>
          <cell r="T13">
            <v>1066</v>
          </cell>
        </row>
        <row r="15">
          <cell r="F15">
            <v>685</v>
          </cell>
          <cell r="G15">
            <v>798</v>
          </cell>
          <cell r="H15">
            <v>842</v>
          </cell>
          <cell r="I15">
            <v>913</v>
          </cell>
          <cell r="J15">
            <v>922</v>
          </cell>
          <cell r="K15">
            <v>1013</v>
          </cell>
          <cell r="L15">
            <v>1010</v>
          </cell>
          <cell r="M15">
            <v>1181</v>
          </cell>
          <cell r="N15">
            <v>1038</v>
          </cell>
          <cell r="O15">
            <v>1290</v>
          </cell>
          <cell r="P15">
            <v>1198</v>
          </cell>
          <cell r="Q15">
            <v>1359</v>
          </cell>
          <cell r="R15">
            <v>1145</v>
          </cell>
          <cell r="S15">
            <v>1479</v>
          </cell>
          <cell r="T15">
            <v>1240</v>
          </cell>
        </row>
        <row r="16">
          <cell r="F16">
            <v>101</v>
          </cell>
          <cell r="G16">
            <v>154</v>
          </cell>
          <cell r="H16">
            <v>152</v>
          </cell>
          <cell r="I16">
            <v>308</v>
          </cell>
          <cell r="J16">
            <v>148</v>
          </cell>
          <cell r="K16">
            <v>514</v>
          </cell>
          <cell r="L16">
            <v>185</v>
          </cell>
          <cell r="M16">
            <v>203</v>
          </cell>
          <cell r="N16">
            <v>170</v>
          </cell>
          <cell r="O16">
            <v>212</v>
          </cell>
          <cell r="P16">
            <v>239</v>
          </cell>
          <cell r="Q16">
            <v>236</v>
          </cell>
          <cell r="R16">
            <v>187</v>
          </cell>
          <cell r="S16">
            <v>833</v>
          </cell>
          <cell r="T16">
            <v>246</v>
          </cell>
        </row>
        <row r="17">
          <cell r="F17">
            <v>1437</v>
          </cell>
          <cell r="G17">
            <v>1667</v>
          </cell>
          <cell r="H17">
            <v>1658</v>
          </cell>
          <cell r="I17">
            <v>2161</v>
          </cell>
          <cell r="J17">
            <v>1883</v>
          </cell>
          <cell r="K17">
            <v>2425</v>
          </cell>
          <cell r="L17">
            <v>2169</v>
          </cell>
          <cell r="M17">
            <v>2471</v>
          </cell>
          <cell r="N17">
            <v>2164</v>
          </cell>
          <cell r="O17">
            <v>2492</v>
          </cell>
          <cell r="P17">
            <v>2506</v>
          </cell>
          <cell r="Q17">
            <v>2959</v>
          </cell>
          <cell r="R17">
            <v>2345</v>
          </cell>
          <cell r="S17">
            <v>3356</v>
          </cell>
          <cell r="T17">
            <v>2552</v>
          </cell>
          <cell r="U17">
            <v>0</v>
          </cell>
        </row>
        <row r="18">
          <cell r="F18">
            <v>2107</v>
          </cell>
          <cell r="G18">
            <v>2740</v>
          </cell>
          <cell r="H18">
            <v>2229</v>
          </cell>
          <cell r="I18">
            <v>2934</v>
          </cell>
          <cell r="J18">
            <v>2789</v>
          </cell>
          <cell r="K18">
            <v>2931</v>
          </cell>
          <cell r="L18">
            <v>2735</v>
          </cell>
          <cell r="M18">
            <v>2551</v>
          </cell>
          <cell r="N18">
            <v>2777</v>
          </cell>
          <cell r="O18">
            <v>3194</v>
          </cell>
          <cell r="P18">
            <v>2998</v>
          </cell>
          <cell r="Q18">
            <v>2751</v>
          </cell>
          <cell r="R18">
            <v>2897</v>
          </cell>
          <cell r="S18">
            <v>2841</v>
          </cell>
          <cell r="T18">
            <v>3298</v>
          </cell>
          <cell r="U18">
            <v>0</v>
          </cell>
        </row>
        <row r="19">
          <cell r="F19">
            <v>261</v>
          </cell>
          <cell r="G19">
            <v>337</v>
          </cell>
          <cell r="H19">
            <v>711</v>
          </cell>
          <cell r="I19">
            <v>482</v>
          </cell>
          <cell r="J19">
            <v>394</v>
          </cell>
          <cell r="K19">
            <v>770</v>
          </cell>
          <cell r="L19">
            <v>882</v>
          </cell>
          <cell r="M19">
            <v>1124</v>
          </cell>
          <cell r="N19">
            <v>1127</v>
          </cell>
          <cell r="O19">
            <v>751</v>
          </cell>
          <cell r="P19">
            <v>706</v>
          </cell>
          <cell r="Q19">
            <v>-2620</v>
          </cell>
          <cell r="R19">
            <v>-980</v>
          </cell>
          <cell r="S19">
            <v>553</v>
          </cell>
          <cell r="T19">
            <v>739</v>
          </cell>
        </row>
        <row r="20">
          <cell r="F20">
            <v>160</v>
          </cell>
          <cell r="J20">
            <v>156</v>
          </cell>
        </row>
        <row r="21">
          <cell r="F21">
            <v>-25</v>
          </cell>
          <cell r="G21">
            <v>-26</v>
          </cell>
          <cell r="H21">
            <v>9</v>
          </cell>
          <cell r="I21">
            <v>-28</v>
          </cell>
          <cell r="J21">
            <v>-19</v>
          </cell>
          <cell r="K21">
            <v>-10</v>
          </cell>
          <cell r="L21">
            <v>-4</v>
          </cell>
          <cell r="M21">
            <v>-24</v>
          </cell>
          <cell r="N21">
            <v>-52</v>
          </cell>
          <cell r="O21">
            <v>-28</v>
          </cell>
          <cell r="P21">
            <v>-46</v>
          </cell>
          <cell r="Q21">
            <v>-33</v>
          </cell>
          <cell r="R21">
            <v>-30</v>
          </cell>
          <cell r="S21">
            <v>-37</v>
          </cell>
          <cell r="T21">
            <v>-11</v>
          </cell>
        </row>
        <row r="22">
          <cell r="F22">
            <v>2503</v>
          </cell>
          <cell r="G22">
            <v>3051</v>
          </cell>
          <cell r="H22">
            <v>2949</v>
          </cell>
          <cell r="I22">
            <v>3388</v>
          </cell>
          <cell r="J22">
            <v>3320</v>
          </cell>
          <cell r="K22">
            <v>3691</v>
          </cell>
          <cell r="L22">
            <v>3613</v>
          </cell>
          <cell r="M22">
            <v>3651</v>
          </cell>
          <cell r="N22">
            <v>3852</v>
          </cell>
          <cell r="O22">
            <v>3917</v>
          </cell>
          <cell r="P22">
            <v>3658</v>
          </cell>
          <cell r="Q22">
            <v>98</v>
          </cell>
          <cell r="R22">
            <v>1887</v>
          </cell>
          <cell r="S22">
            <v>3357</v>
          </cell>
          <cell r="T22">
            <v>4026</v>
          </cell>
          <cell r="U22">
            <v>0</v>
          </cell>
        </row>
        <row r="23">
          <cell r="F23">
            <v>820.05</v>
          </cell>
          <cell r="G23">
            <v>1067.8499999999999</v>
          </cell>
          <cell r="H23">
            <v>1032.1499999999999</v>
          </cell>
          <cell r="I23">
            <v>1185.8</v>
          </cell>
          <cell r="J23">
            <v>1128.8000000000002</v>
          </cell>
          <cell r="K23">
            <v>1254.94</v>
          </cell>
          <cell r="L23">
            <v>1228.42</v>
          </cell>
          <cell r="M23">
            <v>1241.8399999999999</v>
          </cell>
          <cell r="N23">
            <v>1271.1600000000001</v>
          </cell>
          <cell r="O23">
            <v>1293</v>
          </cell>
          <cell r="P23">
            <v>1207</v>
          </cell>
          <cell r="Q23">
            <v>32</v>
          </cell>
          <cell r="R23">
            <v>604</v>
          </cell>
          <cell r="S23">
            <v>1074</v>
          </cell>
          <cell r="T23">
            <v>1288</v>
          </cell>
          <cell r="U23">
            <v>0</v>
          </cell>
        </row>
        <row r="24">
          <cell r="F24">
            <v>1682.95</v>
          </cell>
          <cell r="G24">
            <v>1983.15</v>
          </cell>
          <cell r="H24">
            <v>1916.8500000000001</v>
          </cell>
          <cell r="I24">
            <v>2202.1999999999998</v>
          </cell>
          <cell r="J24">
            <v>2191.1999999999998</v>
          </cell>
          <cell r="K24">
            <v>2436.06</v>
          </cell>
          <cell r="L24">
            <v>2384.58</v>
          </cell>
          <cell r="M24">
            <v>2409.16</v>
          </cell>
          <cell r="N24">
            <v>2580.84</v>
          </cell>
          <cell r="O24">
            <v>2624</v>
          </cell>
          <cell r="P24">
            <v>2451</v>
          </cell>
          <cell r="Q24">
            <v>66</v>
          </cell>
          <cell r="R24">
            <v>1283</v>
          </cell>
          <cell r="S24">
            <v>2283</v>
          </cell>
          <cell r="T24">
            <v>2738</v>
          </cell>
          <cell r="U24">
            <v>0</v>
          </cell>
        </row>
        <row r="25">
          <cell r="N25">
            <v>-375</v>
          </cell>
        </row>
        <row r="26">
          <cell r="F26">
            <v>1682.95</v>
          </cell>
          <cell r="G26">
            <v>1983.15</v>
          </cell>
          <cell r="H26">
            <v>1916.8500000000001</v>
          </cell>
          <cell r="I26">
            <v>2202.1999999999998</v>
          </cell>
          <cell r="J26">
            <v>2191.1999999999998</v>
          </cell>
          <cell r="K26">
            <v>2436.06</v>
          </cell>
          <cell r="L26">
            <v>2384.58</v>
          </cell>
          <cell r="M26">
            <v>2409.16</v>
          </cell>
          <cell r="N26">
            <v>2205.84</v>
          </cell>
          <cell r="O26">
            <v>2624</v>
          </cell>
          <cell r="P26">
            <v>2451</v>
          </cell>
          <cell r="Q26">
            <v>66</v>
          </cell>
          <cell r="R26">
            <v>1283</v>
          </cell>
          <cell r="S26">
            <v>2283</v>
          </cell>
          <cell r="T26">
            <v>2738</v>
          </cell>
          <cell r="U26">
            <v>0</v>
          </cell>
        </row>
        <row r="27">
          <cell r="F27">
            <v>7</v>
          </cell>
          <cell r="G27">
            <v>7</v>
          </cell>
          <cell r="H27">
            <v>7</v>
          </cell>
          <cell r="I27">
            <v>7</v>
          </cell>
          <cell r="J27">
            <v>7</v>
          </cell>
          <cell r="K27">
            <v>6</v>
          </cell>
          <cell r="L27">
            <v>0</v>
          </cell>
          <cell r="M27">
            <v>0</v>
          </cell>
          <cell r="N27">
            <v>0</v>
          </cell>
          <cell r="O27">
            <v>0</v>
          </cell>
          <cell r="P27">
            <v>0</v>
          </cell>
          <cell r="Q27">
            <v>0</v>
          </cell>
          <cell r="R27">
            <v>0</v>
          </cell>
          <cell r="S27">
            <v>0</v>
          </cell>
          <cell r="T27">
            <v>0</v>
          </cell>
          <cell r="U27">
            <v>0</v>
          </cell>
        </row>
        <row r="28">
          <cell r="F28">
            <v>1675.95</v>
          </cell>
          <cell r="G28">
            <v>1976.15</v>
          </cell>
          <cell r="H28">
            <v>1909.8500000000001</v>
          </cell>
          <cell r="I28">
            <v>2195.1999999999998</v>
          </cell>
          <cell r="J28">
            <v>2184.1999999999998</v>
          </cell>
          <cell r="K28">
            <v>2430.06</v>
          </cell>
          <cell r="L28">
            <v>2384.58</v>
          </cell>
          <cell r="M28">
            <v>2409.16</v>
          </cell>
          <cell r="N28">
            <v>2205.84</v>
          </cell>
          <cell r="O28">
            <v>2624</v>
          </cell>
          <cell r="P28">
            <v>2451</v>
          </cell>
          <cell r="Q28">
            <v>66</v>
          </cell>
          <cell r="R28">
            <v>1283</v>
          </cell>
          <cell r="S28">
            <v>2283</v>
          </cell>
          <cell r="T28">
            <v>2738</v>
          </cell>
          <cell r="U28">
            <v>0</v>
          </cell>
        </row>
        <row r="29">
          <cell r="F29">
            <v>4958</v>
          </cell>
          <cell r="G29">
            <v>4998</v>
          </cell>
          <cell r="H29">
            <v>5055</v>
          </cell>
          <cell r="I29">
            <v>5100</v>
          </cell>
          <cell r="J29">
            <v>5129</v>
          </cell>
          <cell r="K29">
            <v>5163</v>
          </cell>
          <cell r="L29">
            <v>5209</v>
          </cell>
          <cell r="M29">
            <v>5250</v>
          </cell>
          <cell r="N29">
            <v>5299</v>
          </cell>
          <cell r="O29">
            <v>5330</v>
          </cell>
          <cell r="P29">
            <v>5336</v>
          </cell>
          <cell r="Q29">
            <v>5381</v>
          </cell>
          <cell r="R29">
            <v>5398</v>
          </cell>
          <cell r="S29">
            <v>5395</v>
          </cell>
          <cell r="T29">
            <v>5415</v>
          </cell>
        </row>
        <row r="30">
          <cell r="F30">
            <v>5435</v>
          </cell>
          <cell r="G30">
            <v>5460</v>
          </cell>
          <cell r="H30">
            <v>5512</v>
          </cell>
          <cell r="I30">
            <v>5521</v>
          </cell>
          <cell r="J30">
            <v>5527</v>
          </cell>
          <cell r="K30">
            <v>5538</v>
          </cell>
          <cell r="L30">
            <v>5543</v>
          </cell>
          <cell r="M30">
            <v>5537</v>
          </cell>
          <cell r="N30">
            <v>5557</v>
          </cell>
          <cell r="O30">
            <v>5570</v>
          </cell>
          <cell r="P30">
            <v>5563</v>
          </cell>
          <cell r="Q30">
            <v>5592</v>
          </cell>
          <cell r="R30">
            <v>5567</v>
          </cell>
          <cell r="S30">
            <v>5556</v>
          </cell>
          <cell r="T30">
            <v>5564</v>
          </cell>
        </row>
        <row r="31">
          <cell r="F31">
            <v>0.33944130697862041</v>
          </cell>
          <cell r="G31">
            <v>0.39678871548619449</v>
          </cell>
          <cell r="H31">
            <v>0.37919881305637987</v>
          </cell>
          <cell r="I31">
            <v>0.4318039215686274</v>
          </cell>
          <cell r="J31">
            <v>0.42721778124390714</v>
          </cell>
          <cell r="K31">
            <v>0.47183033120278906</v>
          </cell>
          <cell r="L31">
            <v>0.45778076406220003</v>
          </cell>
          <cell r="M31">
            <v>0.45888761904761904</v>
          </cell>
          <cell r="N31">
            <v>0.48704283827137196</v>
          </cell>
          <cell r="O31">
            <v>0.49230769230769234</v>
          </cell>
          <cell r="P31">
            <v>0.45933283358320842</v>
          </cell>
          <cell r="Q31">
            <v>1.226537818249396E-2</v>
          </cell>
          <cell r="R31">
            <v>0.23768062245276028</v>
          </cell>
          <cell r="S31">
            <v>0.42316960148285448</v>
          </cell>
          <cell r="T31">
            <v>0.50563250230840262</v>
          </cell>
          <cell r="U31" t="e">
            <v>#DIV/0!</v>
          </cell>
        </row>
        <row r="32">
          <cell r="F32">
            <v>0.30836246550137997</v>
          </cell>
          <cell r="G32">
            <v>0.36193223443223443</v>
          </cell>
          <cell r="H32">
            <v>0.34648947750362846</v>
          </cell>
          <cell r="I32">
            <v>0.3976091287810179</v>
          </cell>
          <cell r="J32">
            <v>0.39518726252940106</v>
          </cell>
          <cell r="K32">
            <v>0.43879739978331528</v>
          </cell>
          <cell r="L32">
            <v>0.430196644416381</v>
          </cell>
          <cell r="M32">
            <v>0.43510204081632653</v>
          </cell>
          <cell r="N32">
            <v>0.46443044808349832</v>
          </cell>
          <cell r="O32">
            <v>0.47109515260323159</v>
          </cell>
          <cell r="P32">
            <v>0.44058960992270357</v>
          </cell>
          <cell r="Q32">
            <v>1.1802575107296138E-2</v>
          </cell>
          <cell r="R32">
            <v>0.23046524160229925</v>
          </cell>
          <cell r="S32">
            <v>0.41090712742980562</v>
          </cell>
          <cell r="T32">
            <v>0.49209202012940328</v>
          </cell>
          <cell r="U32" t="e">
            <v>#DIV/0!</v>
          </cell>
        </row>
        <row r="33">
          <cell r="F33">
            <v>0.3380294473578056</v>
          </cell>
          <cell r="G33">
            <v>0.39538815526210486</v>
          </cell>
          <cell r="H33">
            <v>0.37781404549950548</v>
          </cell>
          <cell r="I33">
            <v>0.43043137254901959</v>
          </cell>
          <cell r="J33">
            <v>0.4258529927861181</v>
          </cell>
          <cell r="K33">
            <v>0.47066821615339915</v>
          </cell>
          <cell r="L33">
            <v>0.45778076406220003</v>
          </cell>
          <cell r="M33">
            <v>0.45888761904761904</v>
          </cell>
          <cell r="N33">
            <v>0.41627476882430647</v>
          </cell>
          <cell r="O33">
            <v>0.49230769230769234</v>
          </cell>
          <cell r="P33">
            <v>0.45933283358320842</v>
          </cell>
          <cell r="Q33">
            <v>1.226537818249396E-2</v>
          </cell>
          <cell r="R33">
            <v>0.23768062245276028</v>
          </cell>
          <cell r="S33">
            <v>0.42316960148285448</v>
          </cell>
          <cell r="T33">
            <v>0.50563250230840262</v>
          </cell>
          <cell r="U33">
            <v>0</v>
          </cell>
        </row>
        <row r="34">
          <cell r="F34">
            <v>0.30965041398344068</v>
          </cell>
          <cell r="G34">
            <v>0.36321428571428571</v>
          </cell>
          <cell r="H34">
            <v>0.34775943396226416</v>
          </cell>
          <cell r="I34">
            <v>0.39887701503350836</v>
          </cell>
          <cell r="J34">
            <v>0.396453772390085</v>
          </cell>
          <cell r="K34">
            <v>0.43988082340195017</v>
          </cell>
          <cell r="L34">
            <v>0.430196644416381</v>
          </cell>
          <cell r="M34">
            <v>0.43510204081632653</v>
          </cell>
          <cell r="N34">
            <v>0.39694799352168436</v>
          </cell>
          <cell r="O34">
            <v>0.47109515260323159</v>
          </cell>
          <cell r="P34">
            <v>0.44058960992270357</v>
          </cell>
          <cell r="Q34">
            <v>1.1802575107296138E-2</v>
          </cell>
          <cell r="R34">
            <v>0.23046524160229925</v>
          </cell>
          <cell r="S34">
            <v>0.41090712742980562</v>
          </cell>
          <cell r="T34">
            <v>0.49209202012940328</v>
          </cell>
          <cell r="U34" t="e">
            <v>#DIV/0!</v>
          </cell>
        </row>
        <row r="38">
          <cell r="F38">
            <v>1608</v>
          </cell>
          <cell r="G38">
            <v>1755</v>
          </cell>
          <cell r="H38">
            <v>1528</v>
          </cell>
          <cell r="I38">
            <v>2358</v>
          </cell>
          <cell r="J38">
            <v>1868</v>
          </cell>
          <cell r="K38">
            <v>2207</v>
          </cell>
          <cell r="L38">
            <v>2018</v>
          </cell>
          <cell r="M38">
            <v>2234</v>
          </cell>
          <cell r="N38">
            <v>2154</v>
          </cell>
          <cell r="O38">
            <v>2334</v>
          </cell>
          <cell r="P38">
            <v>2371</v>
          </cell>
          <cell r="Q38">
            <v>2656</v>
          </cell>
          <cell r="R38">
            <v>2433.2252640706042</v>
          </cell>
          <cell r="S38">
            <v>3235</v>
          </cell>
          <cell r="T38">
            <v>2756</v>
          </cell>
        </row>
        <row r="39">
          <cell r="F39">
            <v>894</v>
          </cell>
          <cell r="G39">
            <v>1254</v>
          </cell>
          <cell r="H39">
            <v>981</v>
          </cell>
          <cell r="I39">
            <v>1198</v>
          </cell>
          <cell r="J39">
            <v>1183</v>
          </cell>
          <cell r="K39">
            <v>1427</v>
          </cell>
          <cell r="L39">
            <v>1259</v>
          </cell>
          <cell r="M39">
            <v>1151</v>
          </cell>
          <cell r="N39">
            <v>1085</v>
          </cell>
          <cell r="O39">
            <v>1430</v>
          </cell>
          <cell r="P39">
            <v>1204</v>
          </cell>
          <cell r="Q39">
            <v>1145</v>
          </cell>
          <cell r="R39">
            <v>1104.8028679412828</v>
          </cell>
          <cell r="S39">
            <v>1416</v>
          </cell>
          <cell r="T39">
            <v>1385</v>
          </cell>
        </row>
        <row r="40">
          <cell r="F40">
            <v>325</v>
          </cell>
          <cell r="G40">
            <v>389</v>
          </cell>
          <cell r="H40">
            <v>492</v>
          </cell>
          <cell r="I40">
            <v>570</v>
          </cell>
          <cell r="J40">
            <v>593</v>
          </cell>
          <cell r="K40">
            <v>606</v>
          </cell>
          <cell r="L40">
            <v>709</v>
          </cell>
          <cell r="M40">
            <v>689</v>
          </cell>
          <cell r="N40">
            <v>708</v>
          </cell>
          <cell r="O40">
            <v>737</v>
          </cell>
          <cell r="P40">
            <v>836</v>
          </cell>
          <cell r="Q40">
            <v>777</v>
          </cell>
          <cell r="R40">
            <v>604.0938756929944</v>
          </cell>
          <cell r="S40">
            <v>705</v>
          </cell>
          <cell r="T40">
            <v>818</v>
          </cell>
        </row>
        <row r="41">
          <cell r="F41">
            <v>1366</v>
          </cell>
          <cell r="G41">
            <v>1797</v>
          </cell>
          <cell r="H41">
            <v>1594</v>
          </cell>
          <cell r="I41">
            <v>1638</v>
          </cell>
          <cell r="J41">
            <v>1740</v>
          </cell>
          <cell r="K41">
            <v>1872</v>
          </cell>
          <cell r="L41">
            <v>1670</v>
          </cell>
          <cell r="M41">
            <v>1730</v>
          </cell>
          <cell r="N41">
            <v>1819</v>
          </cell>
          <cell r="O41">
            <v>2049</v>
          </cell>
          <cell r="P41">
            <v>1992</v>
          </cell>
          <cell r="Q41">
            <v>1999</v>
          </cell>
          <cell r="R41">
            <v>1984.3675963395417</v>
          </cell>
          <cell r="S41">
            <v>2385</v>
          </cell>
          <cell r="T41">
            <v>2286</v>
          </cell>
        </row>
        <row r="42">
          <cell r="F42">
            <v>4193</v>
          </cell>
          <cell r="G42">
            <v>5195</v>
          </cell>
          <cell r="H42">
            <v>4595</v>
          </cell>
          <cell r="I42">
            <v>5764</v>
          </cell>
          <cell r="J42">
            <v>5384</v>
          </cell>
          <cell r="K42">
            <v>6112</v>
          </cell>
          <cell r="L42">
            <v>5656</v>
          </cell>
          <cell r="M42">
            <v>5804</v>
          </cell>
          <cell r="N42">
            <v>5766</v>
          </cell>
          <cell r="O42">
            <v>6550</v>
          </cell>
          <cell r="P42">
            <v>6403</v>
          </cell>
          <cell r="Q42">
            <v>6577</v>
          </cell>
          <cell r="R42">
            <v>6126.4896040444228</v>
          </cell>
          <cell r="S42">
            <v>7741</v>
          </cell>
          <cell r="T42">
            <v>7245</v>
          </cell>
          <cell r="U42">
            <v>0</v>
          </cell>
        </row>
        <row r="45">
          <cell r="F45">
            <v>1560</v>
          </cell>
          <cell r="G45">
            <v>1957</v>
          </cell>
          <cell r="H45">
            <v>1660</v>
          </cell>
          <cell r="I45">
            <v>2598</v>
          </cell>
          <cell r="J45">
            <v>2213</v>
          </cell>
          <cell r="K45">
            <v>2531</v>
          </cell>
          <cell r="L45">
            <v>2263</v>
          </cell>
          <cell r="M45">
            <v>2289</v>
          </cell>
          <cell r="N45">
            <v>2139</v>
          </cell>
          <cell r="O45">
            <v>2485</v>
          </cell>
          <cell r="P45">
            <v>2412</v>
          </cell>
          <cell r="Q45">
            <v>2507</v>
          </cell>
          <cell r="R45">
            <v>2191.6529290182516</v>
          </cell>
          <cell r="S45">
            <v>2449</v>
          </cell>
          <cell r="T45">
            <v>2436</v>
          </cell>
        </row>
        <row r="46">
          <cell r="F46">
            <v>1583</v>
          </cell>
          <cell r="G46">
            <v>1886</v>
          </cell>
          <cell r="H46">
            <v>1582</v>
          </cell>
          <cell r="I46">
            <v>1686</v>
          </cell>
          <cell r="J46">
            <v>1667</v>
          </cell>
          <cell r="K46">
            <v>1829</v>
          </cell>
          <cell r="L46">
            <v>1765</v>
          </cell>
          <cell r="M46">
            <v>1757</v>
          </cell>
          <cell r="N46">
            <v>1883</v>
          </cell>
          <cell r="O46">
            <v>2063</v>
          </cell>
          <cell r="P46">
            <v>2052</v>
          </cell>
          <cell r="Q46">
            <v>2043</v>
          </cell>
          <cell r="R46">
            <v>2017.4589009393314</v>
          </cell>
          <cell r="S46">
            <v>2554</v>
          </cell>
          <cell r="T46">
            <v>2285</v>
          </cell>
        </row>
        <row r="47">
          <cell r="F47">
            <v>3143</v>
          </cell>
          <cell r="G47">
            <v>3843</v>
          </cell>
          <cell r="H47">
            <v>3242</v>
          </cell>
          <cell r="I47">
            <v>4284</v>
          </cell>
          <cell r="J47">
            <v>3880</v>
          </cell>
          <cell r="K47">
            <v>4360</v>
          </cell>
          <cell r="L47">
            <v>4028</v>
          </cell>
          <cell r="M47">
            <v>4046</v>
          </cell>
          <cell r="N47">
            <v>4022</v>
          </cell>
          <cell r="O47">
            <v>4548</v>
          </cell>
          <cell r="P47">
            <v>4464</v>
          </cell>
          <cell r="Q47">
            <v>4550</v>
          </cell>
          <cell r="R47">
            <v>4209.1118299575828</v>
          </cell>
          <cell r="S47">
            <v>5003</v>
          </cell>
          <cell r="T47">
            <v>4721</v>
          </cell>
        </row>
        <row r="48">
          <cell r="F48">
            <v>641</v>
          </cell>
          <cell r="G48">
            <v>780</v>
          </cell>
          <cell r="H48">
            <v>930</v>
          </cell>
          <cell r="I48">
            <v>983</v>
          </cell>
          <cell r="J48">
            <v>949</v>
          </cell>
          <cell r="K48">
            <v>1028</v>
          </cell>
          <cell r="L48">
            <v>1028</v>
          </cell>
          <cell r="M48">
            <v>1076</v>
          </cell>
          <cell r="N48">
            <v>1037</v>
          </cell>
          <cell r="O48">
            <v>1244</v>
          </cell>
          <cell r="P48">
            <v>1254</v>
          </cell>
          <cell r="Q48">
            <v>1294</v>
          </cell>
          <cell r="R48">
            <v>1192.52554816424</v>
          </cell>
          <cell r="S48">
            <v>1288</v>
          </cell>
          <cell r="T48">
            <v>1276</v>
          </cell>
        </row>
        <row r="49">
          <cell r="F49">
            <v>3784</v>
          </cell>
          <cell r="G49">
            <v>4623</v>
          </cell>
          <cell r="H49">
            <v>4172</v>
          </cell>
          <cell r="I49">
            <v>5267</v>
          </cell>
          <cell r="J49">
            <v>4829</v>
          </cell>
          <cell r="K49">
            <v>5388</v>
          </cell>
          <cell r="L49">
            <v>5056</v>
          </cell>
          <cell r="M49">
            <v>5122</v>
          </cell>
          <cell r="N49">
            <v>5059</v>
          </cell>
          <cell r="O49">
            <v>5792</v>
          </cell>
          <cell r="P49">
            <v>5718</v>
          </cell>
          <cell r="Q49">
            <v>5844</v>
          </cell>
          <cell r="R49">
            <v>5401.6373781218226</v>
          </cell>
          <cell r="S49">
            <v>6291</v>
          </cell>
          <cell r="T49">
            <v>5997</v>
          </cell>
        </row>
        <row r="50">
          <cell r="F50">
            <v>232</v>
          </cell>
          <cell r="G50">
            <v>357</v>
          </cell>
          <cell r="H50">
            <v>302</v>
          </cell>
          <cell r="I50">
            <v>296</v>
          </cell>
          <cell r="J50">
            <v>366</v>
          </cell>
          <cell r="K50">
            <v>464</v>
          </cell>
          <cell r="L50">
            <v>378</v>
          </cell>
          <cell r="M50">
            <v>418</v>
          </cell>
          <cell r="N50">
            <v>479</v>
          </cell>
          <cell r="O50">
            <v>506</v>
          </cell>
          <cell r="P50">
            <v>460</v>
          </cell>
          <cell r="Q50">
            <v>509</v>
          </cell>
          <cell r="R50">
            <v>500.78435682509996</v>
          </cell>
          <cell r="S50">
            <v>1197</v>
          </cell>
          <cell r="T50">
            <v>1066</v>
          </cell>
        </row>
        <row r="51">
          <cell r="F51">
            <v>9</v>
          </cell>
          <cell r="G51">
            <v>12</v>
          </cell>
          <cell r="H51">
            <v>15</v>
          </cell>
          <cell r="I51">
            <v>26</v>
          </cell>
          <cell r="J51">
            <v>18</v>
          </cell>
          <cell r="K51">
            <v>30</v>
          </cell>
          <cell r="L51">
            <v>46</v>
          </cell>
          <cell r="M51">
            <v>88</v>
          </cell>
          <cell r="N51">
            <v>63</v>
          </cell>
          <cell r="O51">
            <v>64</v>
          </cell>
          <cell r="P51">
            <v>76</v>
          </cell>
          <cell r="Q51">
            <v>96</v>
          </cell>
          <cell r="R51">
            <v>94.048726380700003</v>
          </cell>
          <cell r="S51">
            <v>90</v>
          </cell>
          <cell r="T51">
            <v>45</v>
          </cell>
        </row>
        <row r="52">
          <cell r="F52">
            <v>168</v>
          </cell>
          <cell r="G52">
            <v>203</v>
          </cell>
          <cell r="H52">
            <v>106</v>
          </cell>
          <cell r="I52">
            <v>175</v>
          </cell>
          <cell r="J52">
            <v>171</v>
          </cell>
          <cell r="K52">
            <v>230</v>
          </cell>
          <cell r="L52">
            <v>176</v>
          </cell>
          <cell r="M52">
            <v>176</v>
          </cell>
          <cell r="N52">
            <v>165</v>
          </cell>
          <cell r="O52">
            <v>188</v>
          </cell>
          <cell r="P52">
            <v>149</v>
          </cell>
          <cell r="Q52">
            <v>128</v>
          </cell>
          <cell r="R52">
            <v>129.01914271679999</v>
          </cell>
          <cell r="S52">
            <v>163</v>
          </cell>
          <cell r="T52">
            <v>137</v>
          </cell>
        </row>
        <row r="53">
          <cell r="F53">
            <v>4193</v>
          </cell>
          <cell r="G53">
            <v>5195</v>
          </cell>
          <cell r="H53">
            <v>4595</v>
          </cell>
          <cell r="I53">
            <v>5764</v>
          </cell>
          <cell r="J53">
            <v>5384</v>
          </cell>
          <cell r="K53">
            <v>6112</v>
          </cell>
          <cell r="L53">
            <v>5656</v>
          </cell>
          <cell r="M53">
            <v>5804</v>
          </cell>
          <cell r="N53">
            <v>5766</v>
          </cell>
          <cell r="O53">
            <v>6550</v>
          </cell>
          <cell r="P53">
            <v>6403</v>
          </cell>
          <cell r="Q53">
            <v>6577</v>
          </cell>
          <cell r="R53">
            <v>6126.4896040444228</v>
          </cell>
          <cell r="S53">
            <v>7741</v>
          </cell>
          <cell r="T53">
            <v>7245</v>
          </cell>
          <cell r="U53">
            <v>0</v>
          </cell>
        </row>
        <row r="56">
          <cell r="F56">
            <v>543</v>
          </cell>
          <cell r="G56">
            <v>532</v>
          </cell>
          <cell r="H56">
            <v>508</v>
          </cell>
          <cell r="I56">
            <v>678</v>
          </cell>
          <cell r="J56">
            <v>627</v>
          </cell>
          <cell r="K56">
            <v>690</v>
          </cell>
          <cell r="L56">
            <v>763</v>
          </cell>
          <cell r="M56">
            <v>836</v>
          </cell>
          <cell r="N56">
            <v>705</v>
          </cell>
          <cell r="O56">
            <v>638</v>
          </cell>
          <cell r="P56">
            <v>762</v>
          </cell>
          <cell r="Q56">
            <v>1197</v>
          </cell>
          <cell r="R56">
            <v>949</v>
          </cell>
          <cell r="S56">
            <v>956</v>
          </cell>
          <cell r="V56" t="str">
            <v>Q01-2: CG CoGS reclass - 76m; Other headcount %40m lower than prior year; Infrastructure flat with Q00-2</v>
          </cell>
        </row>
        <row r="57">
          <cell r="F57">
            <v>108</v>
          </cell>
          <cell r="G57">
            <v>183</v>
          </cell>
          <cell r="H57">
            <v>156</v>
          </cell>
          <cell r="I57">
            <v>262</v>
          </cell>
          <cell r="J57">
            <v>186</v>
          </cell>
          <cell r="K57">
            <v>208</v>
          </cell>
          <cell r="L57">
            <v>211</v>
          </cell>
          <cell r="M57">
            <v>251</v>
          </cell>
          <cell r="N57">
            <v>251</v>
          </cell>
          <cell r="O57">
            <v>268</v>
          </cell>
          <cell r="P57">
            <v>296</v>
          </cell>
          <cell r="Q57">
            <v>167</v>
          </cell>
          <cell r="R57">
            <v>63</v>
          </cell>
          <cell r="S57">
            <v>88</v>
          </cell>
          <cell r="V57" t="str">
            <v>Q01-2:  External loc down 23% from Q00-2</v>
          </cell>
        </row>
        <row r="58">
          <cell r="F58">
            <v>651</v>
          </cell>
          <cell r="G58">
            <v>715</v>
          </cell>
          <cell r="H58">
            <v>664</v>
          </cell>
          <cell r="I58">
            <v>940</v>
          </cell>
          <cell r="J58">
            <v>813</v>
          </cell>
          <cell r="K58">
            <v>898</v>
          </cell>
          <cell r="L58">
            <v>974</v>
          </cell>
          <cell r="M58">
            <v>1087</v>
          </cell>
          <cell r="N58">
            <v>956</v>
          </cell>
          <cell r="O58">
            <v>906</v>
          </cell>
          <cell r="P58">
            <v>1058</v>
          </cell>
          <cell r="Q58">
            <v>1364</v>
          </cell>
          <cell r="R58">
            <v>1012</v>
          </cell>
          <cell r="S58">
            <v>1044</v>
          </cell>
          <cell r="T58">
            <v>1058</v>
          </cell>
        </row>
        <row r="61">
          <cell r="F61">
            <v>311</v>
          </cell>
          <cell r="G61">
            <v>319</v>
          </cell>
          <cell r="H61">
            <v>451</v>
          </cell>
          <cell r="I61">
            <v>497</v>
          </cell>
          <cell r="J61">
            <v>375</v>
          </cell>
          <cell r="K61">
            <v>374</v>
          </cell>
          <cell r="L61">
            <v>378</v>
          </cell>
          <cell r="M61">
            <v>622</v>
          </cell>
          <cell r="N61">
            <v>508</v>
          </cell>
          <cell r="O61">
            <v>670</v>
          </cell>
          <cell r="P61">
            <v>578</v>
          </cell>
          <cell r="R61">
            <v>508</v>
          </cell>
          <cell r="S61">
            <v>670</v>
          </cell>
          <cell r="T61">
            <v>578</v>
          </cell>
        </row>
        <row r="63">
          <cell r="F63">
            <v>360</v>
          </cell>
          <cell r="G63">
            <v>440</v>
          </cell>
          <cell r="H63">
            <v>356</v>
          </cell>
          <cell r="I63">
            <v>415</v>
          </cell>
          <cell r="J63">
            <v>541</v>
          </cell>
          <cell r="K63">
            <v>630</v>
          </cell>
          <cell r="L63">
            <v>567</v>
          </cell>
          <cell r="M63">
            <v>577</v>
          </cell>
          <cell r="N63">
            <v>626</v>
          </cell>
          <cell r="O63">
            <v>752</v>
          </cell>
          <cell r="P63">
            <v>683</v>
          </cell>
          <cell r="R63">
            <v>626</v>
          </cell>
          <cell r="S63">
            <v>752</v>
          </cell>
          <cell r="T63">
            <v>683</v>
          </cell>
        </row>
        <row r="64">
          <cell r="F64">
            <v>6</v>
          </cell>
          <cell r="G64">
            <v>30</v>
          </cell>
          <cell r="H64">
            <v>29</v>
          </cell>
          <cell r="I64">
            <v>15</v>
          </cell>
          <cell r="J64">
            <v>1</v>
          </cell>
          <cell r="K64">
            <v>2</v>
          </cell>
          <cell r="L64">
            <v>9</v>
          </cell>
          <cell r="M64">
            <v>28</v>
          </cell>
          <cell r="N64">
            <v>0</v>
          </cell>
          <cell r="O64">
            <v>0</v>
          </cell>
          <cell r="P64">
            <v>0</v>
          </cell>
          <cell r="R64">
            <v>0</v>
          </cell>
          <cell r="S64">
            <v>0</v>
          </cell>
          <cell r="T64">
            <v>0</v>
          </cell>
        </row>
        <row r="65">
          <cell r="F65">
            <v>150</v>
          </cell>
          <cell r="G65">
            <v>155</v>
          </cell>
          <cell r="H65">
            <v>153</v>
          </cell>
          <cell r="I65">
            <v>187</v>
          </cell>
          <cell r="J65">
            <v>160</v>
          </cell>
          <cell r="K65">
            <v>184</v>
          </cell>
          <cell r="L65">
            <v>190</v>
          </cell>
          <cell r="M65">
            <v>219</v>
          </cell>
          <cell r="N65">
            <v>239</v>
          </cell>
          <cell r="O65">
            <v>253</v>
          </cell>
          <cell r="P65">
            <v>254</v>
          </cell>
          <cell r="R65">
            <v>239</v>
          </cell>
          <cell r="S65">
            <v>253</v>
          </cell>
          <cell r="T65">
            <v>254</v>
          </cell>
        </row>
        <row r="66">
          <cell r="F66">
            <v>827</v>
          </cell>
          <cell r="G66">
            <v>944</v>
          </cell>
          <cell r="H66">
            <v>989</v>
          </cell>
          <cell r="I66">
            <v>1114</v>
          </cell>
          <cell r="J66">
            <v>1077</v>
          </cell>
          <cell r="K66">
            <v>1190</v>
          </cell>
          <cell r="L66">
            <v>1144</v>
          </cell>
          <cell r="M66">
            <v>1446</v>
          </cell>
          <cell r="N66">
            <v>1373</v>
          </cell>
          <cell r="O66">
            <v>1675</v>
          </cell>
          <cell r="P66">
            <v>1515</v>
          </cell>
          <cell r="R66">
            <v>1373</v>
          </cell>
          <cell r="S66">
            <v>1675</v>
          </cell>
          <cell r="T66">
            <v>1515</v>
          </cell>
        </row>
        <row r="67">
          <cell r="F67">
            <v>-150</v>
          </cell>
          <cell r="G67">
            <v>-155</v>
          </cell>
          <cell r="H67">
            <v>-153</v>
          </cell>
          <cell r="I67">
            <v>-187</v>
          </cell>
          <cell r="J67">
            <v>-160</v>
          </cell>
          <cell r="K67">
            <v>-184</v>
          </cell>
          <cell r="L67">
            <v>-190</v>
          </cell>
          <cell r="M67">
            <v>-219</v>
          </cell>
          <cell r="N67">
            <v>-239</v>
          </cell>
          <cell r="O67">
            <v>-253</v>
          </cell>
          <cell r="P67">
            <v>-254</v>
          </cell>
          <cell r="R67">
            <v>-239</v>
          </cell>
          <cell r="S67">
            <v>-253</v>
          </cell>
          <cell r="T67">
            <v>-254</v>
          </cell>
        </row>
        <row r="68">
          <cell r="F68">
            <v>-3</v>
          </cell>
          <cell r="G68">
            <v>5</v>
          </cell>
          <cell r="H68">
            <v>-4</v>
          </cell>
          <cell r="I68">
            <v>-13</v>
          </cell>
          <cell r="J68">
            <v>-12</v>
          </cell>
          <cell r="K68">
            <v>-9</v>
          </cell>
          <cell r="L68">
            <v>27</v>
          </cell>
          <cell r="M68">
            <v>-29</v>
          </cell>
          <cell r="N68">
            <v>-96</v>
          </cell>
          <cell r="O68">
            <v>-79</v>
          </cell>
          <cell r="P68">
            <v>-86</v>
          </cell>
          <cell r="R68">
            <v>-96</v>
          </cell>
          <cell r="S68">
            <v>-79</v>
          </cell>
          <cell r="T68">
            <v>-86</v>
          </cell>
        </row>
        <row r="69">
          <cell r="F69">
            <v>11</v>
          </cell>
          <cell r="G69">
            <v>4</v>
          </cell>
          <cell r="H69">
            <v>10</v>
          </cell>
          <cell r="I69">
            <v>-1</v>
          </cell>
          <cell r="J69">
            <v>17</v>
          </cell>
          <cell r="K69">
            <v>16</v>
          </cell>
          <cell r="L69">
            <v>29</v>
          </cell>
          <cell r="M69">
            <v>-17</v>
          </cell>
          <cell r="N69">
            <v>0</v>
          </cell>
          <cell r="O69">
            <v>0</v>
          </cell>
          <cell r="P69">
            <v>0</v>
          </cell>
          <cell r="R69">
            <v>0</v>
          </cell>
          <cell r="S69">
            <v>0</v>
          </cell>
          <cell r="T69">
            <v>0</v>
          </cell>
        </row>
        <row r="70">
          <cell r="F70">
            <v>685</v>
          </cell>
          <cell r="G70">
            <v>798</v>
          </cell>
          <cell r="H70">
            <v>842</v>
          </cell>
          <cell r="I70">
            <v>913</v>
          </cell>
          <cell r="J70">
            <v>922</v>
          </cell>
          <cell r="K70">
            <v>1013</v>
          </cell>
          <cell r="L70">
            <v>1010</v>
          </cell>
          <cell r="M70">
            <v>1181</v>
          </cell>
          <cell r="N70">
            <v>1038</v>
          </cell>
          <cell r="O70">
            <v>1343</v>
          </cell>
          <cell r="P70">
            <v>1175</v>
          </cell>
          <cell r="R70">
            <v>1038</v>
          </cell>
          <cell r="S70">
            <v>1343</v>
          </cell>
          <cell r="T70">
            <v>1175</v>
          </cell>
        </row>
        <row r="72">
          <cell r="F72">
            <v>325</v>
          </cell>
          <cell r="G72">
            <v>358</v>
          </cell>
          <cell r="H72">
            <v>486</v>
          </cell>
          <cell r="I72">
            <v>498</v>
          </cell>
          <cell r="J72">
            <v>381</v>
          </cell>
          <cell r="K72">
            <v>383</v>
          </cell>
          <cell r="L72">
            <v>443</v>
          </cell>
          <cell r="M72">
            <v>604</v>
          </cell>
          <cell r="N72">
            <v>412</v>
          </cell>
          <cell r="O72">
            <v>591</v>
          </cell>
          <cell r="P72">
            <v>492</v>
          </cell>
          <cell r="Q72">
            <v>465037750.80999988</v>
          </cell>
          <cell r="R72">
            <v>513409245.25999999</v>
          </cell>
          <cell r="S72">
            <v>712035481.99999988</v>
          </cell>
        </row>
        <row r="73">
          <cell r="F73">
            <v>360</v>
          </cell>
          <cell r="G73">
            <v>440</v>
          </cell>
          <cell r="H73">
            <v>356</v>
          </cell>
          <cell r="I73">
            <v>415</v>
          </cell>
          <cell r="J73">
            <v>541</v>
          </cell>
          <cell r="K73">
            <v>630</v>
          </cell>
          <cell r="L73">
            <v>567</v>
          </cell>
          <cell r="M73">
            <v>577</v>
          </cell>
          <cell r="N73">
            <v>626</v>
          </cell>
          <cell r="O73">
            <v>752</v>
          </cell>
          <cell r="P73">
            <v>683</v>
          </cell>
          <cell r="Q73">
            <v>895288390.87710011</v>
          </cell>
          <cell r="R73">
            <v>631917540.59000051</v>
          </cell>
          <cell r="S73">
            <v>767462858.73999977</v>
          </cell>
        </row>
        <row r="74">
          <cell r="F74">
            <v>685</v>
          </cell>
          <cell r="G74">
            <v>798</v>
          </cell>
          <cell r="H74">
            <v>842</v>
          </cell>
          <cell r="I74">
            <v>913</v>
          </cell>
          <cell r="J74">
            <v>922</v>
          </cell>
          <cell r="K74">
            <v>1013</v>
          </cell>
          <cell r="L74">
            <v>1010</v>
          </cell>
          <cell r="M74">
            <v>1181</v>
          </cell>
          <cell r="N74">
            <v>1038</v>
          </cell>
          <cell r="O74">
            <v>1343</v>
          </cell>
          <cell r="P74">
            <v>1175</v>
          </cell>
          <cell r="Q74">
            <v>1360326141.6870999</v>
          </cell>
          <cell r="R74">
            <v>1145326785.8500004</v>
          </cell>
          <cell r="S74">
            <v>1479498340.7399998</v>
          </cell>
          <cell r="T74">
            <v>1175</v>
          </cell>
        </row>
        <row r="77">
          <cell r="F77">
            <v>3953</v>
          </cell>
          <cell r="G77">
            <v>4938</v>
          </cell>
          <cell r="H77">
            <v>4331</v>
          </cell>
          <cell r="I77">
            <v>5463</v>
          </cell>
          <cell r="J77">
            <v>5106</v>
          </cell>
          <cell r="K77">
            <v>5851</v>
          </cell>
          <cell r="L77">
            <v>5364</v>
          </cell>
          <cell r="M77">
            <v>5505</v>
          </cell>
          <cell r="N77">
            <v>5454</v>
          </cell>
          <cell r="O77">
            <v>6234</v>
          </cell>
          <cell r="P77">
            <v>6052</v>
          </cell>
          <cell r="Q77">
            <v>6173</v>
          </cell>
          <cell r="R77">
            <v>5711</v>
          </cell>
          <cell r="S77">
            <v>7281</v>
          </cell>
        </row>
        <row r="78">
          <cell r="F78">
            <v>51</v>
          </cell>
          <cell r="G78">
            <v>52</v>
          </cell>
          <cell r="H78">
            <v>57</v>
          </cell>
          <cell r="I78">
            <v>62</v>
          </cell>
          <cell r="J78">
            <v>65</v>
          </cell>
          <cell r="K78">
            <v>69</v>
          </cell>
          <cell r="L78">
            <v>76</v>
          </cell>
          <cell r="M78">
            <v>76</v>
          </cell>
          <cell r="N78">
            <v>80</v>
          </cell>
          <cell r="O78">
            <v>87</v>
          </cell>
          <cell r="P78">
            <v>91</v>
          </cell>
          <cell r="Q78">
            <v>97</v>
          </cell>
          <cell r="R78">
            <v>96</v>
          </cell>
          <cell r="S78">
            <v>107</v>
          </cell>
        </row>
        <row r="79">
          <cell r="F79">
            <v>77</v>
          </cell>
          <cell r="G79">
            <v>83</v>
          </cell>
          <cell r="H79">
            <v>92</v>
          </cell>
          <cell r="I79">
            <v>100</v>
          </cell>
          <cell r="J79">
            <v>97</v>
          </cell>
          <cell r="K79">
            <v>85</v>
          </cell>
          <cell r="L79">
            <v>80</v>
          </cell>
          <cell r="M79">
            <v>99</v>
          </cell>
          <cell r="N79">
            <v>123</v>
          </cell>
          <cell r="O79">
            <v>89</v>
          </cell>
          <cell r="P79">
            <v>130</v>
          </cell>
          <cell r="Q79">
            <v>154</v>
          </cell>
          <cell r="R79">
            <v>177</v>
          </cell>
          <cell r="S79">
            <v>180</v>
          </cell>
        </row>
        <row r="80">
          <cell r="F80">
            <v>75</v>
          </cell>
          <cell r="G80">
            <v>86</v>
          </cell>
          <cell r="H80">
            <v>78</v>
          </cell>
          <cell r="I80">
            <v>92</v>
          </cell>
          <cell r="J80">
            <v>73</v>
          </cell>
          <cell r="K80">
            <v>82</v>
          </cell>
          <cell r="L80">
            <v>86</v>
          </cell>
          <cell r="M80">
            <v>94</v>
          </cell>
          <cell r="N80">
            <v>95</v>
          </cell>
          <cell r="O80">
            <v>119</v>
          </cell>
          <cell r="P80">
            <v>133</v>
          </cell>
          <cell r="Q80">
            <v>133</v>
          </cell>
          <cell r="R80">
            <v>117</v>
          </cell>
          <cell r="S80">
            <v>147</v>
          </cell>
        </row>
        <row r="81">
          <cell r="F81">
            <v>37</v>
          </cell>
          <cell r="G81">
            <v>36</v>
          </cell>
          <cell r="H81">
            <v>37</v>
          </cell>
          <cell r="I81">
            <v>47</v>
          </cell>
          <cell r="J81">
            <v>43</v>
          </cell>
          <cell r="K81">
            <v>25</v>
          </cell>
          <cell r="L81">
            <v>50</v>
          </cell>
          <cell r="M81">
            <v>30</v>
          </cell>
          <cell r="N81">
            <v>48</v>
          </cell>
          <cell r="O81">
            <v>55</v>
          </cell>
          <cell r="P81">
            <v>50</v>
          </cell>
          <cell r="Q81">
            <v>20</v>
          </cell>
          <cell r="R81">
            <v>25</v>
          </cell>
          <cell r="S81">
            <v>26</v>
          </cell>
        </row>
        <row r="82">
          <cell r="F82">
            <v>4193</v>
          </cell>
          <cell r="G82">
            <v>5195</v>
          </cell>
          <cell r="H82">
            <v>4595</v>
          </cell>
          <cell r="I82">
            <v>5764</v>
          </cell>
          <cell r="J82">
            <v>5384</v>
          </cell>
          <cell r="K82">
            <v>6112</v>
          </cell>
          <cell r="L82">
            <v>5656</v>
          </cell>
          <cell r="M82">
            <v>5804</v>
          </cell>
          <cell r="N82">
            <v>5800</v>
          </cell>
          <cell r="O82">
            <v>6584</v>
          </cell>
          <cell r="P82">
            <v>6456</v>
          </cell>
          <cell r="Q82">
            <v>6577</v>
          </cell>
          <cell r="R82">
            <v>6126</v>
          </cell>
          <cell r="S82">
            <v>7741</v>
          </cell>
          <cell r="T82">
            <v>6456</v>
          </cell>
        </row>
        <row r="85">
          <cell r="F85">
            <v>307</v>
          </cell>
          <cell r="G85">
            <v>433</v>
          </cell>
          <cell r="H85">
            <v>350</v>
          </cell>
          <cell r="I85">
            <v>229</v>
          </cell>
          <cell r="J85">
            <v>333</v>
          </cell>
          <cell r="K85">
            <v>353</v>
          </cell>
          <cell r="L85">
            <v>343</v>
          </cell>
          <cell r="M85">
            <v>320</v>
          </cell>
          <cell r="N85">
            <v>428</v>
          </cell>
          <cell r="O85">
            <v>454</v>
          </cell>
          <cell r="P85">
            <v>507</v>
          </cell>
          <cell r="Q85">
            <v>455</v>
          </cell>
          <cell r="R85">
            <v>353</v>
          </cell>
          <cell r="S85">
            <v>456</v>
          </cell>
        </row>
        <row r="86">
          <cell r="F86">
            <v>201</v>
          </cell>
          <cell r="G86">
            <v>207</v>
          </cell>
          <cell r="H86">
            <v>210</v>
          </cell>
          <cell r="I86">
            <v>249</v>
          </cell>
          <cell r="J86">
            <v>225</v>
          </cell>
          <cell r="K86">
            <v>253</v>
          </cell>
          <cell r="L86">
            <v>266</v>
          </cell>
          <cell r="M86">
            <v>295</v>
          </cell>
          <cell r="N86">
            <v>239</v>
          </cell>
          <cell r="O86">
            <v>253</v>
          </cell>
          <cell r="P86">
            <v>254</v>
          </cell>
          <cell r="Q86">
            <v>248</v>
          </cell>
          <cell r="R86">
            <v>260</v>
          </cell>
          <cell r="S86">
            <v>187</v>
          </cell>
        </row>
        <row r="87">
          <cell r="F87">
            <v>37</v>
          </cell>
          <cell r="G87">
            <v>35</v>
          </cell>
          <cell r="H87">
            <v>39</v>
          </cell>
          <cell r="I87">
            <v>38</v>
          </cell>
          <cell r="J87">
            <v>43</v>
          </cell>
          <cell r="K87">
            <v>50</v>
          </cell>
          <cell r="L87">
            <v>63</v>
          </cell>
          <cell r="M87">
            <v>31</v>
          </cell>
          <cell r="N87">
            <v>78</v>
          </cell>
          <cell r="O87">
            <v>88</v>
          </cell>
          <cell r="P87">
            <v>103</v>
          </cell>
          <cell r="Q87">
            <v>117</v>
          </cell>
          <cell r="R87">
            <v>118</v>
          </cell>
          <cell r="S87">
            <v>125</v>
          </cell>
        </row>
        <row r="88">
          <cell r="F88">
            <v>78</v>
          </cell>
          <cell r="G88">
            <v>81</v>
          </cell>
          <cell r="H88">
            <v>82</v>
          </cell>
          <cell r="I88">
            <v>105</v>
          </cell>
          <cell r="J88">
            <v>85</v>
          </cell>
          <cell r="K88">
            <v>91</v>
          </cell>
          <cell r="L88">
            <v>59</v>
          </cell>
          <cell r="M88">
            <v>123</v>
          </cell>
          <cell r="N88">
            <v>96</v>
          </cell>
          <cell r="O88">
            <v>79</v>
          </cell>
          <cell r="P88">
            <v>86</v>
          </cell>
          <cell r="Q88">
            <v>89</v>
          </cell>
          <cell r="R88">
            <v>138</v>
          </cell>
          <cell r="S88">
            <v>113</v>
          </cell>
        </row>
        <row r="89">
          <cell r="F89">
            <v>26</v>
          </cell>
          <cell r="G89">
            <v>32</v>
          </cell>
          <cell r="H89">
            <v>27</v>
          </cell>
          <cell r="I89">
            <v>48</v>
          </cell>
          <cell r="J89">
            <v>26</v>
          </cell>
          <cell r="K89">
            <v>9</v>
          </cell>
          <cell r="L89">
            <v>21</v>
          </cell>
          <cell r="M89">
            <v>13</v>
          </cell>
          <cell r="N89">
            <v>18</v>
          </cell>
          <cell r="O89">
            <v>24</v>
          </cell>
          <cell r="P89">
            <v>25</v>
          </cell>
          <cell r="Q89">
            <v>25</v>
          </cell>
          <cell r="R89">
            <v>15</v>
          </cell>
          <cell r="S89">
            <v>16</v>
          </cell>
        </row>
        <row r="90">
          <cell r="F90">
            <v>649</v>
          </cell>
          <cell r="G90">
            <v>788</v>
          </cell>
          <cell r="H90">
            <v>708</v>
          </cell>
          <cell r="I90">
            <v>669</v>
          </cell>
          <cell r="J90">
            <v>712</v>
          </cell>
          <cell r="K90">
            <v>756</v>
          </cell>
          <cell r="L90">
            <v>752</v>
          </cell>
          <cell r="M90">
            <v>782</v>
          </cell>
          <cell r="N90">
            <v>859</v>
          </cell>
          <cell r="O90">
            <v>898</v>
          </cell>
          <cell r="P90">
            <v>975</v>
          </cell>
          <cell r="Q90">
            <v>934</v>
          </cell>
          <cell r="R90">
            <v>884</v>
          </cell>
          <cell r="S90">
            <v>897</v>
          </cell>
          <cell r="T90">
            <v>975</v>
          </cell>
        </row>
      </sheetData>
      <sheetData sheetId="1">
        <row r="5">
          <cell r="F5" t="str">
            <v>Actuals - Penultimate-1 Fiscal Year</v>
          </cell>
        </row>
      </sheetData>
      <sheetData sheetId="2">
        <row r="5">
          <cell r="F5" t="str">
            <v>Actuals - Penultimate-1 Fiscal Year</v>
          </cell>
        </row>
      </sheetData>
      <sheetData sheetId="3">
        <row r="5">
          <cell r="F5" t="str">
            <v>Actuals - Penultimate-1 Fiscal Year</v>
          </cell>
        </row>
      </sheetData>
      <sheetData sheetId="4">
        <row r="5">
          <cell r="F5" t="str">
            <v>Actuals - Penultimate-1 Fiscal Year</v>
          </cell>
        </row>
      </sheetData>
      <sheetData sheetId="5"/>
      <sheetData sheetId="6"/>
      <sheetData sheetId="7"/>
      <sheetData sheetId="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lance Sheet"/>
      <sheetName val="Consolidated Balance Sheet"/>
    </sheetNames>
    <definedNames>
      <definedName name="Categories" refersTo="#REF!"/>
      <definedName name="PTtop" refersTo="#REF!"/>
      <definedName name="SalesLocations" refersTo="#REF!"/>
    </definedNames>
    <sheetDataSet>
      <sheetData sheetId="0"/>
      <sheetData sheetId="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WW Scoreboard pg 1"/>
      <sheetName val="WW Scoreboard pg 2"/>
      <sheetName val="Stock Price History lookup"/>
      <sheetName val=" DC ROVAC"/>
      <sheetName val="Driver"/>
      <sheetName val="FY01"/>
      <sheetName val="Prior Month"/>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ySub"/>
    </sheetNames>
    <sheetDataSet>
      <sheetData sheetId="0" refreshError="1"/>
    </sheetDataSet>
  </externalBook>
</externalLink>
</file>

<file path=xl/persons/person.xml><?xml version="1.0" encoding="utf-8"?>
<personList xmlns="http://schemas.microsoft.com/office/spreadsheetml/2018/threadedcomments" xmlns:x="http://schemas.openxmlformats.org/spreadsheetml/2006/main">
  <person displayName="Jakub Riha" id="{93FB0E79-3530-8347-A2F0-491A99E921B2}" userId="S::jakub.riha@mail.utoronto.ca::0b33fdd4-eac5-43fc-8677-5c18e6d03219"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7" dT="2024-02-02T22:47:01.90" personId="{93FB0E79-3530-8347-A2F0-491A99E921B2}" id="{BBC04331-559C-0B43-95D1-50C81172D056}">
    <text xml:space="preserve">To switch from the different cases, write:
1 for conservative
2 for base
3 for optimistic
</text>
  </threadedComment>
  <threadedComment ref="G54" dT="2024-02-02T23:54:25.23" personId="{93FB0E79-3530-8347-A2F0-491A99E921B2}" id="{B00D6083-CE98-7F4D-8756-FBB58A038547}">
    <text>Based on Morgan Stanley Netflix Report</text>
  </threadedComment>
  <threadedComment ref="K54" dT="2024-02-02T23:54:25.23" personId="{93FB0E79-3530-8347-A2F0-491A99E921B2}" id="{269EBE1D-DF57-2443-A5F5-C58A9CAC04FF}">
    <text>Based on Morgan Stanley Netflix Report</text>
  </threadedComment>
  <threadedComment ref="O54" dT="2024-02-02T23:54:25.23" personId="{93FB0E79-3530-8347-A2F0-491A99E921B2}" id="{C989C55B-6D6C-3C43-9D2E-CD53CEEB0C85}">
    <text>Based on Morgan Stanley Netflix Report</text>
  </threadedComment>
  <threadedComment ref="B65" dT="2024-02-02T22:17:52.52" personId="{93FB0E79-3530-8347-A2F0-491A99E921B2}" id="{5B05145F-A43A-9F46-9F29-B6CF06C5ED33}">
    <text xml:space="preserve">The Base revenue growth rate seems to be decreasing, which makes sense because there is more and more competition </text>
  </threadedComment>
  <threadedComment ref="H65" dT="2024-02-02T22:12:13.80" personId="{93FB0E79-3530-8347-A2F0-491A99E921B2}" id="{C919E0FB-37FB-934A-92DB-DD2C3B65E849}">
    <text>This value was adjusted to be the average between the 2023 and 2025 growth to be more realistic</text>
  </threadedComment>
  <threadedComment ref="B71" dT="2024-02-02T22:56:41.91" personId="{93FB0E79-3530-8347-A2F0-491A99E921B2}" id="{A85D0048-ED5D-754D-81A3-030B488DE63F}">
    <text>Base Case EBIT growth is projected to increse as Netflix begins to focus more on profitability</text>
  </threadedComment>
  <threadedComment ref="B77" dT="2024-02-02T23:09:03.72" personId="{93FB0E79-3530-8347-A2F0-491A99E921B2}" id="{BEB26D84-F968-1244-B7F8-9C5A1D62529C}">
    <text xml:space="preserve">Although the current marginal tax rate on Netlfix is 13%, the DCF will project a linear growth towards the current US corporate tax of 21%
</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D79AC-F738-0447-84BE-1A6A61251A49}">
  <dimension ref="A1:H12"/>
  <sheetViews>
    <sheetView showGridLines="0" zoomScale="150" workbookViewId="0">
      <selection activeCell="E6" sqref="E6"/>
    </sheetView>
  </sheetViews>
  <sheetFormatPr baseColWidth="10" defaultRowHeight="16"/>
  <cols>
    <col min="2" max="3" width="10.83203125" customWidth="1"/>
    <col min="4" max="4" width="25.1640625" customWidth="1"/>
    <col min="5" max="5" width="62.33203125" style="66" customWidth="1"/>
    <col min="6" max="6" width="30.33203125" style="66" customWidth="1"/>
  </cols>
  <sheetData>
    <row r="1" spans="1:8" s="4" customFormat="1" ht="33">
      <c r="B1" s="5" t="s">
        <v>127</v>
      </c>
      <c r="E1" s="118"/>
      <c r="F1" s="118"/>
    </row>
    <row r="3" spans="1:8">
      <c r="B3" t="s">
        <v>5</v>
      </c>
      <c r="C3" s="73" t="s">
        <v>7</v>
      </c>
    </row>
    <row r="4" spans="1:8">
      <c r="B4" t="s">
        <v>6</v>
      </c>
      <c r="C4" s="74">
        <v>45324</v>
      </c>
    </row>
    <row r="5" spans="1:8">
      <c r="A5" s="75"/>
      <c r="B5" s="75"/>
      <c r="C5" s="75"/>
      <c r="D5" s="75"/>
      <c r="E5" s="119"/>
    </row>
    <row r="6" spans="1:8" ht="89" customHeight="1">
      <c r="A6" s="75"/>
      <c r="B6" s="115" t="s">
        <v>128</v>
      </c>
      <c r="C6" s="116"/>
      <c r="D6" s="116"/>
      <c r="E6" s="121" t="s">
        <v>133</v>
      </c>
      <c r="F6" s="122"/>
      <c r="G6" s="117"/>
      <c r="H6" s="117"/>
    </row>
    <row r="7" spans="1:8" ht="97" customHeight="1">
      <c r="A7" s="75"/>
      <c r="B7" s="115" t="s">
        <v>129</v>
      </c>
      <c r="C7" s="116"/>
      <c r="D7" s="116"/>
      <c r="E7" s="121" t="s">
        <v>134</v>
      </c>
      <c r="F7" s="122"/>
      <c r="G7" s="117"/>
      <c r="H7" s="117"/>
    </row>
    <row r="8" spans="1:8" ht="83" customHeight="1">
      <c r="A8" s="75"/>
      <c r="B8" s="115" t="s">
        <v>130</v>
      </c>
      <c r="C8" s="116"/>
      <c r="D8" s="116"/>
      <c r="E8" s="121" t="s">
        <v>135</v>
      </c>
      <c r="F8" s="122"/>
      <c r="G8" s="117"/>
      <c r="H8" s="117"/>
    </row>
    <row r="9" spans="1:8" ht="68" customHeight="1">
      <c r="A9" s="75"/>
      <c r="B9" s="123" t="s">
        <v>136</v>
      </c>
      <c r="C9" s="123"/>
      <c r="D9" s="123"/>
      <c r="E9" s="121" t="s">
        <v>137</v>
      </c>
      <c r="F9" s="122"/>
      <c r="G9" s="117"/>
      <c r="H9" s="117"/>
    </row>
    <row r="10" spans="1:8" ht="90" customHeight="1">
      <c r="A10" s="75"/>
      <c r="B10" s="115" t="s">
        <v>131</v>
      </c>
      <c r="C10" s="116"/>
      <c r="D10" s="116"/>
      <c r="E10" s="120" t="s">
        <v>138</v>
      </c>
      <c r="F10" s="122"/>
      <c r="G10" s="117"/>
      <c r="H10" s="117"/>
    </row>
    <row r="11" spans="1:8" ht="130" customHeight="1">
      <c r="A11" s="75"/>
      <c r="B11" s="115" t="s">
        <v>132</v>
      </c>
      <c r="C11" s="116"/>
      <c r="D11" s="116"/>
      <c r="E11" s="121" t="s">
        <v>139</v>
      </c>
      <c r="F11" s="122"/>
      <c r="G11" s="117"/>
      <c r="H11" s="117"/>
    </row>
    <row r="12" spans="1:8">
      <c r="A12" s="75"/>
      <c r="B12" s="75"/>
      <c r="C12" s="75"/>
      <c r="D12" s="75"/>
      <c r="E12" s="119"/>
    </row>
  </sheetData>
  <mergeCells count="1">
    <mergeCell ref="B9:D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47B56-B9FE-EC4C-984A-CAEAC8D370D5}">
  <dimension ref="B2:S103"/>
  <sheetViews>
    <sheetView showGridLines="0" tabSelected="1" zoomScale="150" zoomScaleNormal="206" workbookViewId="0">
      <selection activeCell="B81" sqref="B81"/>
    </sheetView>
  </sheetViews>
  <sheetFormatPr baseColWidth="10" defaultRowHeight="16"/>
  <cols>
    <col min="2" max="2" width="31.33203125" customWidth="1"/>
    <col min="3" max="3" width="14.1640625" bestFit="1" customWidth="1"/>
    <col min="4" max="4" width="13.1640625" bestFit="1" customWidth="1"/>
    <col min="5" max="7" width="13.33203125" bestFit="1" customWidth="1"/>
    <col min="8" max="9" width="15.33203125" bestFit="1" customWidth="1"/>
    <col min="10" max="10" width="16" bestFit="1" customWidth="1"/>
    <col min="11" max="16" width="15.33203125" bestFit="1" customWidth="1"/>
    <col min="17" max="17" width="17.5" bestFit="1" customWidth="1"/>
  </cols>
  <sheetData>
    <row r="2" spans="2:19" s="4" customFormat="1" ht="33">
      <c r="B2" s="5" t="s">
        <v>4</v>
      </c>
    </row>
    <row r="4" spans="2:19">
      <c r="B4" t="s">
        <v>5</v>
      </c>
      <c r="C4" s="73" t="s">
        <v>7</v>
      </c>
    </row>
    <row r="5" spans="2:19">
      <c r="B5" t="s">
        <v>6</v>
      </c>
      <c r="C5" s="74">
        <v>45324</v>
      </c>
    </row>
    <row r="7" spans="2:19">
      <c r="B7" s="75"/>
      <c r="H7" t="s">
        <v>96</v>
      </c>
      <c r="I7" t="s">
        <v>96</v>
      </c>
      <c r="J7" t="s">
        <v>96</v>
      </c>
      <c r="K7" t="s">
        <v>96</v>
      </c>
      <c r="L7" t="s">
        <v>96</v>
      </c>
      <c r="M7" t="s">
        <v>96</v>
      </c>
      <c r="N7" t="s">
        <v>96</v>
      </c>
      <c r="O7" t="s">
        <v>96</v>
      </c>
      <c r="P7" t="s">
        <v>96</v>
      </c>
      <c r="Q7" t="s">
        <v>96</v>
      </c>
    </row>
    <row r="8" spans="2:19">
      <c r="B8" s="67" t="s">
        <v>0</v>
      </c>
      <c r="C8" s="67">
        <v>2019</v>
      </c>
      <c r="D8" s="67">
        <v>2020</v>
      </c>
      <c r="E8" s="67">
        <v>2021</v>
      </c>
      <c r="F8" s="67">
        <v>2022</v>
      </c>
      <c r="G8" s="67">
        <v>2023</v>
      </c>
      <c r="H8" s="67">
        <v>2024</v>
      </c>
      <c r="I8" s="67">
        <v>2025</v>
      </c>
      <c r="J8" s="67">
        <v>2026</v>
      </c>
      <c r="K8" s="67">
        <v>2027</v>
      </c>
      <c r="L8" s="67">
        <v>2028</v>
      </c>
      <c r="M8" s="67">
        <v>2029</v>
      </c>
      <c r="N8" s="67">
        <v>2030</v>
      </c>
      <c r="O8" s="67">
        <v>2031</v>
      </c>
      <c r="P8" s="67">
        <v>2032</v>
      </c>
      <c r="Q8" s="67">
        <v>2033</v>
      </c>
    </row>
    <row r="9" spans="2:19" s="1" customFormat="1" ht="17">
      <c r="B9" s="69" t="s">
        <v>1</v>
      </c>
      <c r="C9" s="72">
        <f>'Income Statement'!E9</f>
        <v>20156447</v>
      </c>
      <c r="D9" s="72">
        <f>'Income Statement'!F9</f>
        <v>24996056</v>
      </c>
      <c r="E9" s="72">
        <f>'Income Statement'!K9</f>
        <v>29697844</v>
      </c>
      <c r="F9" s="72">
        <f>'Income Statement'!P9</f>
        <v>31615550</v>
      </c>
      <c r="G9" s="72">
        <f>'Income Statement'!U9</f>
        <v>33723297</v>
      </c>
      <c r="H9" s="1">
        <f t="shared" ref="H9:N9" si="0">G9*(1+AVERAGE(E10:G10))</f>
        <v>37313065.030051358</v>
      </c>
      <c r="I9" s="1">
        <f t="shared" si="0"/>
        <v>40269375.187872134</v>
      </c>
      <c r="J9" s="1">
        <f t="shared" si="0"/>
        <v>43656642.536757737</v>
      </c>
      <c r="K9" s="1">
        <f t="shared" si="0"/>
        <v>47582725.608013146</v>
      </c>
      <c r="L9" s="1">
        <f t="shared" si="0"/>
        <v>51599913.982716314</v>
      </c>
      <c r="M9" s="1">
        <f t="shared" si="0"/>
        <v>56045616.649346769</v>
      </c>
      <c r="N9" s="1">
        <f t="shared" si="0"/>
        <v>60912495.974712171</v>
      </c>
      <c r="O9" s="1">
        <f t="shared" ref="O9" si="1">N9*(1+AVERAGE(L10:N10))</f>
        <v>66139201.261268429</v>
      </c>
      <c r="P9" s="1">
        <f t="shared" ref="P9" si="2">O9*(1+AVERAGE(M10:O10))</f>
        <v>71844848.870854497</v>
      </c>
      <c r="Q9" s="1">
        <f t="shared" ref="Q9" si="3">P9*(1+AVERAGE(N10:P10))</f>
        <v>78045343.455974653</v>
      </c>
    </row>
    <row r="10" spans="2:19" s="70" customFormat="1">
      <c r="B10" s="70" t="s">
        <v>77</v>
      </c>
      <c r="C10" s="89"/>
      <c r="D10" s="89">
        <f>(D9-C9)/C9</f>
        <v>0.24010228588401517</v>
      </c>
      <c r="E10" s="89">
        <f t="shared" ref="E10:N10" si="4">(E9-D9)/D9</f>
        <v>0.18810119484449866</v>
      </c>
      <c r="F10" s="89">
        <f t="shared" si="4"/>
        <v>6.4573913176996955E-2</v>
      </c>
      <c r="G10" s="89">
        <f t="shared" si="4"/>
        <v>6.6668047843545339E-2</v>
      </c>
      <c r="H10" s="89">
        <f t="shared" si="4"/>
        <v>0.10644771862168038</v>
      </c>
      <c r="I10" s="89">
        <f t="shared" si="4"/>
        <v>7.9229893214074212E-2</v>
      </c>
      <c r="J10" s="89">
        <f t="shared" si="4"/>
        <v>8.4115219893099835E-2</v>
      </c>
      <c r="K10" s="89">
        <f t="shared" si="4"/>
        <v>8.9930943909618116E-2</v>
      </c>
      <c r="L10" s="89">
        <f t="shared" si="4"/>
        <v>8.442535233893067E-2</v>
      </c>
      <c r="M10" s="89">
        <f t="shared" si="4"/>
        <v>8.615717204721636E-2</v>
      </c>
      <c r="N10" s="89">
        <f t="shared" si="4"/>
        <v>8.6837822765255035E-2</v>
      </c>
      <c r="O10" s="89">
        <f t="shared" ref="O10" si="5">(O9-N9)/N9</f>
        <v>8.5806782383800628E-2</v>
      </c>
      <c r="P10" s="89">
        <f t="shared" ref="P10" si="6">(P9-O9)/O9</f>
        <v>8.6267259065424096E-2</v>
      </c>
      <c r="Q10" s="89">
        <f t="shared" ref="Q10" si="7">(Q9-P9)/P9</f>
        <v>8.6303954738159785E-2</v>
      </c>
      <c r="S10" s="70" t="s">
        <v>112</v>
      </c>
    </row>
    <row r="11" spans="2:19">
      <c r="B11" s="66"/>
    </row>
    <row r="12" spans="2:19" s="1" customFormat="1">
      <c r="B12" s="1" t="s">
        <v>2</v>
      </c>
      <c r="C12" s="72">
        <f>'Income Statement'!E14</f>
        <v>2604254</v>
      </c>
      <c r="D12" s="72">
        <f>'Income Statement'!F14</f>
        <v>4585289</v>
      </c>
      <c r="E12" s="72">
        <f>'Income Statement'!K14</f>
        <v>6194509</v>
      </c>
      <c r="F12" s="72">
        <f>'Income Statement'!P14</f>
        <v>5632831</v>
      </c>
      <c r="G12" s="72">
        <f>'Income Statement'!U14</f>
        <v>6954003</v>
      </c>
      <c r="H12" s="1">
        <f t="shared" ref="H12:N12" si="8">H9*H13</f>
        <v>8412569.9462778009</v>
      </c>
      <c r="I12" s="1">
        <f t="shared" si="8"/>
        <v>9502112.6304805502</v>
      </c>
      <c r="J12" s="1">
        <f t="shared" si="8"/>
        <v>10600206.762125494</v>
      </c>
      <c r="K12" s="1">
        <f t="shared" si="8"/>
        <v>12322455.116364446</v>
      </c>
      <c r="L12" s="1">
        <f t="shared" si="8"/>
        <v>14043403.713800143</v>
      </c>
      <c r="M12" s="1">
        <f t="shared" si="8"/>
        <v>15907681.050119014</v>
      </c>
      <c r="N12" s="1">
        <f t="shared" si="8"/>
        <v>18018051.61052892</v>
      </c>
      <c r="O12" s="1">
        <f t="shared" ref="O12" si="9">O9*O13</f>
        <v>20440362.154665522</v>
      </c>
      <c r="P12" s="1">
        <f t="shared" ref="P12" si="10">P9*P13</f>
        <v>23103221.444605906</v>
      </c>
      <c r="Q12" s="1">
        <f t="shared" ref="Q12" si="11">Q9*Q13</f>
        <v>26061206.778042953</v>
      </c>
    </row>
    <row r="13" spans="2:19" s="70" customFormat="1">
      <c r="B13" s="70" t="s">
        <v>79</v>
      </c>
      <c r="C13" s="89">
        <f>C12/C9</f>
        <v>0.12920203645017397</v>
      </c>
      <c r="D13" s="89">
        <f>D12/D9</f>
        <v>0.18344049957321268</v>
      </c>
      <c r="E13" s="89">
        <f>E12/E9</f>
        <v>0.20858446828665408</v>
      </c>
      <c r="F13" s="89">
        <f>F12/F9</f>
        <v>0.17816647187855345</v>
      </c>
      <c r="G13" s="89">
        <f>G12/G9</f>
        <v>0.20620768485358951</v>
      </c>
      <c r="H13" s="89">
        <f t="shared" ref="H13:N13" si="12">G13+((G13-F13)+(F13-E13)+(E13-D13)+(D13-C13))/4</f>
        <v>0.22545909695444338</v>
      </c>
      <c r="I13" s="89">
        <f t="shared" si="12"/>
        <v>0.23596374629975106</v>
      </c>
      <c r="J13" s="89">
        <f t="shared" si="12"/>
        <v>0.24280856580302529</v>
      </c>
      <c r="K13" s="89">
        <f t="shared" si="12"/>
        <v>0.25896908928414325</v>
      </c>
      <c r="L13" s="89">
        <f t="shared" si="12"/>
        <v>0.27215944039178169</v>
      </c>
      <c r="M13" s="89">
        <f t="shared" si="12"/>
        <v>0.28383452625111627</v>
      </c>
      <c r="N13" s="89">
        <f t="shared" si="12"/>
        <v>0.29580222123895755</v>
      </c>
      <c r="O13" s="89">
        <f t="shared" ref="O13" si="13">N13+((N13-M13)+(M13-L13)+(L13-K13)+(K13-J13))/4</f>
        <v>0.30905063509794062</v>
      </c>
      <c r="P13" s="89">
        <f t="shared" ref="P13" si="14">O13+((O13-N13)+(N13-M13)+(M13-L13)+(L13-K13))/4</f>
        <v>0.32157102155138995</v>
      </c>
      <c r="Q13" s="89">
        <f t="shared" ref="Q13" si="15">P13+((P13-O13)+(O13-N13)+(N13-M13)+(M13-L13))/4</f>
        <v>0.33392391684129202</v>
      </c>
    </row>
    <row r="15" spans="2:19" s="1" customFormat="1">
      <c r="B15" s="1" t="s">
        <v>78</v>
      </c>
      <c r="C15" s="72">
        <f>-'Income Statement'!E19</f>
        <v>195315</v>
      </c>
      <c r="D15" s="72">
        <f>-'Income Statement'!F19</f>
        <v>437954</v>
      </c>
      <c r="E15" s="72">
        <f>-'Income Statement'!K19</f>
        <v>723875</v>
      </c>
      <c r="F15" s="72">
        <f>-'Income Statement'!P19</f>
        <v>772005</v>
      </c>
      <c r="G15" s="72">
        <f>-'Income Statement'!U19</f>
        <v>797415</v>
      </c>
      <c r="H15" s="1">
        <f t="shared" ref="H15:N15" si="16">H12*H16</f>
        <v>1093634.0930161141</v>
      </c>
      <c r="I15" s="1">
        <f t="shared" si="16"/>
        <v>1235274.6419624717</v>
      </c>
      <c r="J15" s="1">
        <f t="shared" si="16"/>
        <v>1378026.8790763142</v>
      </c>
      <c r="K15" s="1">
        <f t="shared" si="16"/>
        <v>1601919.165127378</v>
      </c>
      <c r="L15" s="1">
        <f t="shared" si="16"/>
        <v>1825642.4827940187</v>
      </c>
      <c r="M15" s="1">
        <f t="shared" si="16"/>
        <v>2067998.536515472</v>
      </c>
      <c r="N15" s="1">
        <f t="shared" si="16"/>
        <v>2342346.7093687598</v>
      </c>
      <c r="O15" s="1">
        <f t="shared" ref="O15" si="17">O12*O16</f>
        <v>2657247.0801065178</v>
      </c>
      <c r="P15" s="1">
        <f t="shared" ref="P15" si="18">P12*P16</f>
        <v>3003418.7877987679</v>
      </c>
      <c r="Q15" s="1">
        <f t="shared" ref="Q15" si="19">Q12*Q16</f>
        <v>3387956.8811455839</v>
      </c>
    </row>
    <row r="16" spans="2:19" s="70" customFormat="1">
      <c r="B16" s="70" t="s">
        <v>80</v>
      </c>
      <c r="C16" s="89">
        <f>C15/C12</f>
        <v>7.4998444852153442E-2</v>
      </c>
      <c r="D16" s="89">
        <f>D15/D12</f>
        <v>9.5512845537107913E-2</v>
      </c>
      <c r="E16" s="89">
        <f>E15/E12</f>
        <v>0.11685752656102365</v>
      </c>
      <c r="F16" s="89">
        <f>F15/F12</f>
        <v>0.13705452906362714</v>
      </c>
      <c r="G16" s="89">
        <f>G15/G12</f>
        <v>0.11466992464627927</v>
      </c>
      <c r="H16" s="89">
        <v>0.13</v>
      </c>
      <c r="I16" s="89">
        <v>0.13</v>
      </c>
      <c r="J16" s="89">
        <v>0.13</v>
      </c>
      <c r="K16" s="89">
        <v>0.13</v>
      </c>
      <c r="L16" s="89">
        <v>0.13</v>
      </c>
      <c r="M16" s="89">
        <v>0.13</v>
      </c>
      <c r="N16" s="89">
        <v>0.13</v>
      </c>
      <c r="O16" s="89">
        <v>0.13</v>
      </c>
      <c r="P16" s="89">
        <v>0.13</v>
      </c>
      <c r="Q16" s="89">
        <v>0.13</v>
      </c>
    </row>
    <row r="18" spans="2:18">
      <c r="B18" s="75"/>
    </row>
    <row r="19" spans="2:18" s="75" customFormat="1">
      <c r="B19" s="76" t="s">
        <v>8</v>
      </c>
      <c r="C19" s="76">
        <v>2019</v>
      </c>
      <c r="D19" s="76">
        <v>2020</v>
      </c>
      <c r="E19" s="76">
        <v>2021</v>
      </c>
      <c r="F19" s="76">
        <v>2022</v>
      </c>
      <c r="G19" s="76">
        <v>2023</v>
      </c>
      <c r="H19" s="76">
        <v>2024</v>
      </c>
      <c r="I19" s="76">
        <v>2025</v>
      </c>
      <c r="J19" s="76">
        <v>2026</v>
      </c>
      <c r="K19" s="76">
        <v>2027</v>
      </c>
      <c r="L19" s="76">
        <v>2028</v>
      </c>
      <c r="M19" s="76">
        <v>2029</v>
      </c>
      <c r="N19" s="76">
        <v>2030</v>
      </c>
      <c r="O19" s="76">
        <v>2031</v>
      </c>
      <c r="P19" s="76">
        <v>2032</v>
      </c>
      <c r="Q19" s="76">
        <v>2033</v>
      </c>
      <c r="R19"/>
    </row>
    <row r="20" spans="2:18" s="1" customFormat="1">
      <c r="B20" s="78" t="s">
        <v>81</v>
      </c>
      <c r="C20" s="72">
        <f>Cashflow!L15</f>
        <v>103579</v>
      </c>
      <c r="D20" s="72">
        <f>Cashflow!M15</f>
        <v>115710</v>
      </c>
      <c r="E20" s="72">
        <f>Cashflow!N15</f>
        <v>208412</v>
      </c>
      <c r="F20" s="72">
        <f>Cashflow!O15</f>
        <v>74602</v>
      </c>
      <c r="G20" s="72">
        <f>Cashflow!P15</f>
        <v>83505</v>
      </c>
      <c r="H20" s="1">
        <f t="shared" ref="H20:N20" si="20">H9*H21</f>
        <v>161352.6980140307</v>
      </c>
      <c r="I20" s="1">
        <f t="shared" si="20"/>
        <v>167577.11254118235</v>
      </c>
      <c r="J20" s="1">
        <f t="shared" si="20"/>
        <v>177589.02057471531</v>
      </c>
      <c r="K20" s="1">
        <f t="shared" si="20"/>
        <v>165487.00239430869</v>
      </c>
      <c r="L20" s="1">
        <f t="shared" si="20"/>
        <v>190998.29370790347</v>
      </c>
      <c r="M20" s="1">
        <f t="shared" si="20"/>
        <v>221189.17743043634</v>
      </c>
      <c r="N20" s="1">
        <f t="shared" si="20"/>
        <v>235795.39729114759</v>
      </c>
      <c r="O20" s="1">
        <f t="shared" ref="O20" si="21">O9*O21</f>
        <v>252187.51130938513</v>
      </c>
      <c r="P20" s="1">
        <f t="shared" ref="P20" si="22">P9*P21</f>
        <v>270280.71603444539</v>
      </c>
      <c r="Q20" s="1">
        <f t="shared" ref="Q20" si="23">Q9*Q21</f>
        <v>298041.94745037949</v>
      </c>
    </row>
    <row r="21" spans="2:18" s="70" customFormat="1">
      <c r="B21" s="77" t="s">
        <v>79</v>
      </c>
      <c r="C21" s="89">
        <f>C20/C9</f>
        <v>5.1387528764370027E-3</v>
      </c>
      <c r="D21" s="89">
        <f>D20/D9</f>
        <v>4.6291302915948017E-3</v>
      </c>
      <c r="E21" s="89">
        <f>E20/E9</f>
        <v>7.0177484937963847E-3</v>
      </c>
      <c r="F21" s="89">
        <f>F20/F9</f>
        <v>2.3596616222080588E-3</v>
      </c>
      <c r="G21" s="89">
        <f>G20/G9</f>
        <v>2.4761813769276476E-3</v>
      </c>
      <c r="H21" s="89">
        <f t="shared" ref="H21:N21" si="24">AVERAGE(C21:G21)</f>
        <v>4.3242949321927789E-3</v>
      </c>
      <c r="I21" s="89">
        <f t="shared" si="24"/>
        <v>4.1614033433439333E-3</v>
      </c>
      <c r="J21" s="89">
        <f t="shared" si="24"/>
        <v>4.0678579536937605E-3</v>
      </c>
      <c r="K21" s="89">
        <f t="shared" si="24"/>
        <v>3.477879845673236E-3</v>
      </c>
      <c r="L21" s="89">
        <f t="shared" si="24"/>
        <v>3.7015234903662714E-3</v>
      </c>
      <c r="M21" s="89">
        <f t="shared" si="24"/>
        <v>3.9465919130539954E-3</v>
      </c>
      <c r="N21" s="89">
        <f t="shared" si="24"/>
        <v>3.8710513092262396E-3</v>
      </c>
      <c r="O21" s="89">
        <f t="shared" ref="O21" si="25">AVERAGE(J21:N21)</f>
        <v>3.8129809024027004E-3</v>
      </c>
      <c r="P21" s="89">
        <f t="shared" ref="P21" si="26">AVERAGE(K21:O21)</f>
        <v>3.7620054921444885E-3</v>
      </c>
      <c r="Q21" s="89">
        <f t="shared" ref="Q21" si="27">AVERAGE(L21:P21)</f>
        <v>3.8188306214387386E-3</v>
      </c>
    </row>
    <row r="22" spans="2:18" s="70" customFormat="1">
      <c r="B22" s="77" t="s">
        <v>85</v>
      </c>
      <c r="C22" s="89">
        <f t="shared" ref="C22:N22" si="28">C20/C32</f>
        <v>0.40934653308830793</v>
      </c>
      <c r="D22" s="89">
        <f t="shared" si="28"/>
        <v>0.23238532865523384</v>
      </c>
      <c r="E22" s="89">
        <f t="shared" si="28"/>
        <v>0.39728928581640727</v>
      </c>
      <c r="F22" s="89">
        <f t="shared" si="28"/>
        <v>0.61574142854784664</v>
      </c>
      <c r="G22" s="89">
        <f t="shared" si="28"/>
        <v>0.23957687805549818</v>
      </c>
      <c r="H22" s="89">
        <f t="shared" si="28"/>
        <v>0.33623023363047472</v>
      </c>
      <c r="I22" s="89">
        <f t="shared" si="28"/>
        <v>0.32202461745702349</v>
      </c>
      <c r="J22" s="89">
        <f t="shared" si="28"/>
        <v>0.35301652851901005</v>
      </c>
      <c r="K22" s="89">
        <f t="shared" si="28"/>
        <v>0.33782388689577436</v>
      </c>
      <c r="L22" s="89">
        <f t="shared" si="28"/>
        <v>0.31944125050526306</v>
      </c>
      <c r="M22" s="89">
        <f t="shared" si="28"/>
        <v>0.33338717462039846</v>
      </c>
      <c r="N22" s="89">
        <f t="shared" si="28"/>
        <v>0.33275854519915465</v>
      </c>
      <c r="O22" s="89">
        <f>O20/O32</f>
        <v>0.33519734042329014</v>
      </c>
      <c r="P22" s="89">
        <f>P20/P32</f>
        <v>0.33157778980586461</v>
      </c>
      <c r="Q22" s="89">
        <f>Q20/Q32</f>
        <v>0.33046488538319263</v>
      </c>
    </row>
    <row r="23" spans="2:18" s="1" customFormat="1">
      <c r="C23" s="72"/>
      <c r="D23" s="72"/>
      <c r="E23" s="72"/>
      <c r="F23" s="72"/>
      <c r="G23" s="72"/>
    </row>
    <row r="24" spans="2:18" s="1" customFormat="1">
      <c r="B24" s="78" t="s">
        <v>86</v>
      </c>
      <c r="C24" s="72">
        <f>Cashflow!L14</f>
        <v>9216247</v>
      </c>
      <c r="D24" s="72">
        <f>Cashflow!M14</f>
        <v>10806912</v>
      </c>
      <c r="E24" s="72">
        <f>Cashflow!N14</f>
        <v>12230367</v>
      </c>
      <c r="F24" s="72">
        <f>Cashflow!S14</f>
        <v>14026132</v>
      </c>
      <c r="G24" s="72">
        <f>Cashflow!X14</f>
        <v>14197437</v>
      </c>
      <c r="H24" s="1">
        <f>H9*H25</f>
        <v>16164405.290591033</v>
      </c>
      <c r="I24" s="1">
        <f t="shared" ref="I24:Q24" si="29">I9*I25</f>
        <v>17251612.145599276</v>
      </c>
      <c r="J24" s="1">
        <f t="shared" si="29"/>
        <v>18668338.865717951</v>
      </c>
      <c r="K24" s="1">
        <f t="shared" si="29"/>
        <v>20497472.257005844</v>
      </c>
      <c r="L24" s="1">
        <f t="shared" si="29"/>
        <v>22095148.769448023</v>
      </c>
      <c r="M24" s="1">
        <f t="shared" si="29"/>
        <v>24079547.853832755</v>
      </c>
      <c r="N24" s="1">
        <f t="shared" si="29"/>
        <v>26127091.514005329</v>
      </c>
      <c r="O24" s="1">
        <f t="shared" si="29"/>
        <v>28375891.461928695</v>
      </c>
      <c r="P24" s="1">
        <f t="shared" si="29"/>
        <v>30844141.079628594</v>
      </c>
      <c r="Q24" s="1">
        <f t="shared" si="29"/>
        <v>33483330.604258139</v>
      </c>
    </row>
    <row r="25" spans="2:18" s="70" customFormat="1">
      <c r="B25" s="77" t="s">
        <v>79</v>
      </c>
      <c r="C25" s="89">
        <f>C24/C9</f>
        <v>0.45723569238169803</v>
      </c>
      <c r="D25" s="89">
        <f t="shared" ref="D25:G25" si="30">D24/D9</f>
        <v>0.43234468669777343</v>
      </c>
      <c r="E25" s="89">
        <f t="shared" si="30"/>
        <v>0.4118267642593853</v>
      </c>
      <c r="F25" s="89">
        <f t="shared" si="30"/>
        <v>0.44364662325975668</v>
      </c>
      <c r="G25" s="89">
        <f t="shared" si="30"/>
        <v>0.42099789353336359</v>
      </c>
      <c r="H25" s="89">
        <f t="shared" ref="H25:Q25" si="31">AVERAGE(C25:G25)</f>
        <v>0.43321033202639542</v>
      </c>
      <c r="I25" s="89">
        <f t="shared" si="31"/>
        <v>0.4284052599553349</v>
      </c>
      <c r="J25" s="89">
        <f t="shared" si="31"/>
        <v>0.42761737460684718</v>
      </c>
      <c r="K25" s="89">
        <f t="shared" si="31"/>
        <v>0.43077549667633958</v>
      </c>
      <c r="L25" s="89">
        <f t="shared" si="31"/>
        <v>0.42820127135965613</v>
      </c>
      <c r="M25" s="89">
        <f t="shared" si="31"/>
        <v>0.42964194692491464</v>
      </c>
      <c r="N25" s="89">
        <f t="shared" si="31"/>
        <v>0.42892826990461846</v>
      </c>
      <c r="O25" s="89">
        <f t="shared" si="31"/>
        <v>0.42903287189447525</v>
      </c>
      <c r="P25" s="89">
        <f t="shared" si="31"/>
        <v>0.42931597135200078</v>
      </c>
      <c r="Q25" s="89">
        <f t="shared" si="31"/>
        <v>0.42902406628713308</v>
      </c>
    </row>
    <row r="26" spans="2:18" s="70" customFormat="1">
      <c r="B26" s="77" t="s">
        <v>87</v>
      </c>
      <c r="C26" s="89">
        <f>C24/C35</f>
        <v>0.66224451616811275</v>
      </c>
      <c r="D26" s="89">
        <f>D24/D35</f>
        <v>0.91745067017655746</v>
      </c>
      <c r="E26" s="89">
        <f>E24/E35</f>
        <v>0.69089523438948441</v>
      </c>
      <c r="F26" s="89">
        <f>F24/F35</f>
        <v>0.8329532839108742</v>
      </c>
      <c r="G26" s="89">
        <f>G24/G35</f>
        <v>1.130846106036917</v>
      </c>
      <c r="H26" s="89">
        <v>0.68819444444444444</v>
      </c>
      <c r="I26" s="89">
        <f t="shared" ref="I26:Q26" si="32">I24/I35</f>
        <v>0.95533920410176487</v>
      </c>
      <c r="J26" s="89">
        <f t="shared" si="32"/>
        <v>1.0391130327629741</v>
      </c>
      <c r="K26" s="89">
        <f t="shared" si="32"/>
        <v>1.1299112805644025</v>
      </c>
      <c r="L26" s="89">
        <f t="shared" si="32"/>
        <v>1.1165975974459639</v>
      </c>
      <c r="M26" s="89">
        <f t="shared" si="32"/>
        <v>1.0577827057113465</v>
      </c>
      <c r="N26" s="89">
        <f t="shared" si="32"/>
        <v>1.0842278900335207</v>
      </c>
      <c r="O26" s="89">
        <f t="shared" si="32"/>
        <v>1.0955097850909188</v>
      </c>
      <c r="P26" s="89">
        <f t="shared" si="32"/>
        <v>1.0890157267183749</v>
      </c>
      <c r="Q26" s="89">
        <f t="shared" si="32"/>
        <v>1.0809158480471834</v>
      </c>
    </row>
    <row r="27" spans="2:18" s="70" customFormat="1">
      <c r="B27" s="77"/>
    </row>
    <row r="28" spans="2:18" s="1" customFormat="1">
      <c r="B28" s="81" t="s">
        <v>93</v>
      </c>
      <c r="C28" s="82">
        <f>C24+C20</f>
        <v>9319826</v>
      </c>
      <c r="D28" s="82">
        <f t="shared" ref="D28:Q28" si="33">D24+D20</f>
        <v>10922622</v>
      </c>
      <c r="E28" s="82">
        <f t="shared" si="33"/>
        <v>12438779</v>
      </c>
      <c r="F28" s="82">
        <f t="shared" si="33"/>
        <v>14100734</v>
      </c>
      <c r="G28" s="82">
        <f t="shared" si="33"/>
        <v>14280942</v>
      </c>
      <c r="H28" s="83">
        <f t="shared" si="33"/>
        <v>16325757.988605063</v>
      </c>
      <c r="I28" s="83">
        <f t="shared" si="33"/>
        <v>17419189.25814046</v>
      </c>
      <c r="J28" s="83">
        <f t="shared" si="33"/>
        <v>18845927.886292666</v>
      </c>
      <c r="K28" s="83">
        <f t="shared" si="33"/>
        <v>20662959.259400152</v>
      </c>
      <c r="L28" s="83">
        <f t="shared" si="33"/>
        <v>22286147.063155927</v>
      </c>
      <c r="M28" s="83">
        <f t="shared" si="33"/>
        <v>24300737.031263191</v>
      </c>
      <c r="N28" s="83">
        <f t="shared" si="33"/>
        <v>26362886.911296476</v>
      </c>
      <c r="O28" s="83">
        <f t="shared" si="33"/>
        <v>28628078.973238081</v>
      </c>
      <c r="P28" s="83">
        <f t="shared" si="33"/>
        <v>31114421.79566304</v>
      </c>
      <c r="Q28" s="84">
        <f t="shared" si="33"/>
        <v>33781372.551708519</v>
      </c>
    </row>
    <row r="29" spans="2:18" s="70" customFormat="1">
      <c r="B29" s="85" t="s">
        <v>79</v>
      </c>
      <c r="C29" s="90">
        <f>C28/C9</f>
        <v>0.46237444525813504</v>
      </c>
      <c r="D29" s="90">
        <f t="shared" ref="D29:Q29" si="34">D28/D9</f>
        <v>0.43697381698936827</v>
      </c>
      <c r="E29" s="90">
        <f t="shared" si="34"/>
        <v>0.41884451275318169</v>
      </c>
      <c r="F29" s="90">
        <f t="shared" si="34"/>
        <v>0.44600628488196475</v>
      </c>
      <c r="G29" s="90">
        <f t="shared" si="34"/>
        <v>0.42347407491029126</v>
      </c>
      <c r="H29" s="90">
        <f t="shared" si="34"/>
        <v>0.43753462695858819</v>
      </c>
      <c r="I29" s="90">
        <f t="shared" si="34"/>
        <v>0.43256666329867888</v>
      </c>
      <c r="J29" s="90">
        <f t="shared" si="34"/>
        <v>0.43168523256054092</v>
      </c>
      <c r="K29" s="90">
        <f t="shared" si="34"/>
        <v>0.43425337652201279</v>
      </c>
      <c r="L29" s="90">
        <f t="shared" si="34"/>
        <v>0.43190279485002242</v>
      </c>
      <c r="M29" s="90">
        <f t="shared" si="34"/>
        <v>0.43358853883796861</v>
      </c>
      <c r="N29" s="90">
        <f t="shared" si="34"/>
        <v>0.43279932121384473</v>
      </c>
      <c r="O29" s="90">
        <f t="shared" si="34"/>
        <v>0.43284585279687798</v>
      </c>
      <c r="P29" s="90">
        <f t="shared" si="34"/>
        <v>0.43307797684414528</v>
      </c>
      <c r="Q29" s="91">
        <f t="shared" si="34"/>
        <v>0.43284289690857186</v>
      </c>
    </row>
    <row r="30" spans="2:18" s="70" customFormat="1">
      <c r="B30" s="86" t="s">
        <v>85</v>
      </c>
      <c r="C30" s="92">
        <f>C28/C38</f>
        <v>0.65772840362807505</v>
      </c>
      <c r="D30" s="92">
        <f t="shared" ref="D30:Q30" si="35">D28/D38</f>
        <v>0.88966668070351829</v>
      </c>
      <c r="E30" s="92">
        <f t="shared" si="35"/>
        <v>0.68244496410694877</v>
      </c>
      <c r="F30" s="92">
        <f t="shared" si="35"/>
        <v>0.83140159465138253</v>
      </c>
      <c r="G30" s="92">
        <f t="shared" si="35"/>
        <v>1.1067705009317417</v>
      </c>
      <c r="H30" s="92">
        <f t="shared" si="35"/>
        <v>1.431676554666979</v>
      </c>
      <c r="I30" s="92">
        <f t="shared" si="35"/>
        <v>0.93759997389449534</v>
      </c>
      <c r="J30" s="92">
        <f t="shared" si="35"/>
        <v>1.0204247355950156</v>
      </c>
      <c r="K30" s="92">
        <f t="shared" si="35"/>
        <v>1.1090846595040842</v>
      </c>
      <c r="L30" s="92">
        <f t="shared" si="35"/>
        <v>1.0932171170950997</v>
      </c>
      <c r="M30" s="92">
        <f t="shared" si="35"/>
        <v>1.0372681394074208</v>
      </c>
      <c r="N30" s="92">
        <f t="shared" si="35"/>
        <v>1.0627614415794076</v>
      </c>
      <c r="O30" s="92">
        <f t="shared" si="35"/>
        <v>1.074048932477381</v>
      </c>
      <c r="P30" s="92">
        <f t="shared" si="35"/>
        <v>1.0678264744734616</v>
      </c>
      <c r="Q30" s="93">
        <f t="shared" si="35"/>
        <v>1.0596846862615568</v>
      </c>
    </row>
    <row r="32" spans="2:18" s="1" customFormat="1">
      <c r="B32" s="1" t="s">
        <v>3</v>
      </c>
      <c r="C32" s="72">
        <f>-Cashflow!L28</f>
        <v>253035</v>
      </c>
      <c r="D32" s="72">
        <f>-Cashflow!M28</f>
        <v>497923</v>
      </c>
      <c r="E32" s="72">
        <f>-Cashflow!N28</f>
        <v>524585</v>
      </c>
      <c r="F32" s="72">
        <f>-Cashflow!O28</f>
        <v>121158</v>
      </c>
      <c r="G32" s="72">
        <f>-Cashflow!X28</f>
        <v>348552</v>
      </c>
      <c r="H32" s="1">
        <f t="shared" ref="H32:N32" si="36">H9*H33</f>
        <v>479887.53501376463</v>
      </c>
      <c r="I32" s="1">
        <f t="shared" si="36"/>
        <v>520386.03093301313</v>
      </c>
      <c r="J32" s="1">
        <f t="shared" si="36"/>
        <v>503061.48927287996</v>
      </c>
      <c r="K32" s="1">
        <f t="shared" si="36"/>
        <v>489861.75582475861</v>
      </c>
      <c r="L32" s="1">
        <f t="shared" si="36"/>
        <v>597913.68023321906</v>
      </c>
      <c r="M32" s="1">
        <f t="shared" si="36"/>
        <v>663460.36761098239</v>
      </c>
      <c r="N32" s="1">
        <f t="shared" si="36"/>
        <v>708608.09043994639</v>
      </c>
      <c r="O32" s="1">
        <f t="shared" ref="O32" si="37">O9*O33</f>
        <v>752355.34682620247</v>
      </c>
      <c r="P32" s="1">
        <f t="shared" ref="P32" si="38">P9*P33</f>
        <v>815135.16388625419</v>
      </c>
      <c r="Q32" s="1">
        <f t="shared" ref="Q32" si="39">Q9*Q33</f>
        <v>901886.889146431</v>
      </c>
    </row>
    <row r="33" spans="2:18" s="70" customFormat="1">
      <c r="B33" s="70" t="s">
        <v>79</v>
      </c>
      <c r="C33" s="89">
        <f>C32/C9</f>
        <v>1.2553551724666554E-2</v>
      </c>
      <c r="D33" s="89">
        <f>D32/D9</f>
        <v>1.9920062589074052E-2</v>
      </c>
      <c r="E33" s="89">
        <f>E32/E9</f>
        <v>1.7664076893932099E-2</v>
      </c>
      <c r="F33" s="89">
        <f>F32/F9</f>
        <v>3.8322281282470176E-3</v>
      </c>
      <c r="G33" s="89">
        <f>G32/G9</f>
        <v>1.0335644228380162E-2</v>
      </c>
      <c r="H33" s="89">
        <f t="shared" ref="H33:N33" si="40">AVERAGE(C33:G33)</f>
        <v>1.2861112712859979E-2</v>
      </c>
      <c r="I33" s="89">
        <f t="shared" si="40"/>
        <v>1.2922624910498661E-2</v>
      </c>
      <c r="J33" s="89">
        <f t="shared" si="40"/>
        <v>1.1523137374783585E-2</v>
      </c>
      <c r="K33" s="89">
        <f t="shared" si="40"/>
        <v>1.0294949470953881E-2</v>
      </c>
      <c r="L33" s="89">
        <f t="shared" si="40"/>
        <v>1.1587493739495256E-2</v>
      </c>
      <c r="M33" s="89">
        <f t="shared" si="40"/>
        <v>1.1837863641718273E-2</v>
      </c>
      <c r="N33" s="89">
        <f t="shared" si="40"/>
        <v>1.1633213827489931E-2</v>
      </c>
      <c r="O33" s="89">
        <f t="shared" ref="O33" si="41">AVERAGE(J33:N33)</f>
        <v>1.1375331610888184E-2</v>
      </c>
      <c r="P33" s="89">
        <f t="shared" ref="P33" si="42">AVERAGE(K33:O33)</f>
        <v>1.1345770458109104E-2</v>
      </c>
      <c r="Q33" s="89">
        <f t="shared" ref="Q33" si="43">AVERAGE(L33:P33)</f>
        <v>1.1555934655540149E-2</v>
      </c>
    </row>
    <row r="34" spans="2:18" s="1" customFormat="1">
      <c r="C34" s="72"/>
      <c r="D34" s="72"/>
      <c r="E34" s="72"/>
      <c r="F34" s="72"/>
      <c r="G34" s="72"/>
    </row>
    <row r="35" spans="2:18" s="1" customFormat="1">
      <c r="B35" s="79" t="s">
        <v>84</v>
      </c>
      <c r="C35" s="72">
        <f>-Cashflow!L12</f>
        <v>13916683</v>
      </c>
      <c r="D35" s="72">
        <f>-Cashflow!M12</f>
        <v>11779284</v>
      </c>
      <c r="E35" s="72">
        <f>-Cashflow!N12</f>
        <v>17702202</v>
      </c>
      <c r="F35" s="72">
        <f>-Cashflow!S12</f>
        <v>16839038</v>
      </c>
      <c r="G35" s="72">
        <f>-Cashflow!X12</f>
        <v>12554703</v>
      </c>
      <c r="H35" s="1">
        <f t="shared" ref="H35:N35" si="44">H9*H36</f>
        <v>10923357.09827045</v>
      </c>
      <c r="I35" s="1">
        <f t="shared" si="44"/>
        <v>18058101.323099889</v>
      </c>
      <c r="J35" s="1">
        <f t="shared" si="44"/>
        <v>17965647.891143594</v>
      </c>
      <c r="K35" s="1">
        <f>K9*K36</f>
        <v>18140780.262647826</v>
      </c>
      <c r="L35" s="1">
        <f t="shared" si="44"/>
        <v>19787924.333696488</v>
      </c>
      <c r="M35" s="1">
        <f t="shared" si="44"/>
        <v>22764172.380412992</v>
      </c>
      <c r="N35" s="1">
        <f t="shared" si="44"/>
        <v>24097416.930676416</v>
      </c>
      <c r="O35" s="1">
        <f t="shared" ref="O35" si="45">O9*O36</f>
        <v>25901997.269311216</v>
      </c>
      <c r="P35" s="1">
        <f t="shared" ref="P35" si="46">P9*P36</f>
        <v>28322952.848967489</v>
      </c>
      <c r="Q35" s="1">
        <f t="shared" ref="Q35" si="47">Q9*Q36</f>
        <v>30976815.322626807</v>
      </c>
    </row>
    <row r="36" spans="2:18" s="70" customFormat="1">
      <c r="B36" s="70" t="s">
        <v>79</v>
      </c>
      <c r="C36" s="89">
        <f>C35/C9</f>
        <v>0.69043333877245328</v>
      </c>
      <c r="D36" s="89">
        <f>D35/D9</f>
        <v>0.47124570372221924</v>
      </c>
      <c r="E36" s="89">
        <f>E35/E9</f>
        <v>0.59607700814914377</v>
      </c>
      <c r="F36" s="89">
        <f>F35/F9</f>
        <v>0.53261885369699402</v>
      </c>
      <c r="G36" s="89">
        <f>G35/G9</f>
        <v>0.372285752487368</v>
      </c>
      <c r="H36" s="89">
        <f t="shared" ref="H36" si="48">G36+((G36-F36)+(F36-E36)+(E36-D36)+(D36-C36))/4</f>
        <v>0.29274885591609667</v>
      </c>
      <c r="I36" s="89">
        <f t="shared" ref="I36:Q36" si="49">AVERAGE(E36:H36)</f>
        <v>0.4484326175624006</v>
      </c>
      <c r="J36" s="89">
        <f t="shared" si="49"/>
        <v>0.41152151991571484</v>
      </c>
      <c r="K36" s="89">
        <f t="shared" si="49"/>
        <v>0.38124718647039502</v>
      </c>
      <c r="L36" s="89">
        <f t="shared" si="49"/>
        <v>0.38348754496615178</v>
      </c>
      <c r="M36" s="89">
        <f t="shared" si="49"/>
        <v>0.40617221722866559</v>
      </c>
      <c r="N36" s="89">
        <f t="shared" si="49"/>
        <v>0.39560711714523178</v>
      </c>
      <c r="O36" s="89">
        <f t="shared" si="49"/>
        <v>0.39162851645261104</v>
      </c>
      <c r="P36" s="89">
        <f t="shared" si="49"/>
        <v>0.39422384894816503</v>
      </c>
      <c r="Q36" s="89">
        <f t="shared" si="49"/>
        <v>0.39690792494366839</v>
      </c>
      <c r="R36" s="71"/>
    </row>
    <row r="37" spans="2:18" s="70" customFormat="1">
      <c r="R37" s="71"/>
    </row>
    <row r="38" spans="2:18" s="1" customFormat="1">
      <c r="B38" s="87" t="s">
        <v>94</v>
      </c>
      <c r="C38" s="82">
        <f>C35+C32</f>
        <v>14169718</v>
      </c>
      <c r="D38" s="82">
        <f t="shared" ref="D38:Q38" si="50">D35+D32</f>
        <v>12277207</v>
      </c>
      <c r="E38" s="82">
        <f t="shared" si="50"/>
        <v>18226787</v>
      </c>
      <c r="F38" s="82">
        <f t="shared" si="50"/>
        <v>16960196</v>
      </c>
      <c r="G38" s="82">
        <f t="shared" si="50"/>
        <v>12903255</v>
      </c>
      <c r="H38" s="83">
        <f t="shared" si="50"/>
        <v>11403244.633284215</v>
      </c>
      <c r="I38" s="83">
        <f t="shared" si="50"/>
        <v>18578487.3540329</v>
      </c>
      <c r="J38" s="83">
        <f t="shared" si="50"/>
        <v>18468709.380416475</v>
      </c>
      <c r="K38" s="83">
        <f t="shared" si="50"/>
        <v>18630642.018472586</v>
      </c>
      <c r="L38" s="83">
        <f t="shared" si="50"/>
        <v>20385838.013929706</v>
      </c>
      <c r="M38" s="83">
        <f t="shared" si="50"/>
        <v>23427632.748023976</v>
      </c>
      <c r="N38" s="83">
        <f t="shared" si="50"/>
        <v>24806025.021116361</v>
      </c>
      <c r="O38" s="83">
        <f t="shared" si="50"/>
        <v>26654352.616137419</v>
      </c>
      <c r="P38" s="83">
        <f t="shared" si="50"/>
        <v>29138088.012853742</v>
      </c>
      <c r="Q38" s="84">
        <f t="shared" si="50"/>
        <v>31878702.211773239</v>
      </c>
      <c r="R38" s="80"/>
    </row>
    <row r="39" spans="2:18" s="70" customFormat="1">
      <c r="B39" s="88" t="s">
        <v>79</v>
      </c>
      <c r="C39" s="92">
        <f>C38/C9</f>
        <v>0.70298689049711982</v>
      </c>
      <c r="D39" s="92">
        <f>D38/D9</f>
        <v>0.49116576631129327</v>
      </c>
      <c r="E39" s="92">
        <f>E38/E9</f>
        <v>0.6137410850430759</v>
      </c>
      <c r="F39" s="92">
        <f t="shared" ref="F39:Q39" si="51">F38/F9</f>
        <v>0.53645108182524104</v>
      </c>
      <c r="G39" s="92">
        <f t="shared" si="51"/>
        <v>0.38262139671574819</v>
      </c>
      <c r="H39" s="92">
        <f t="shared" si="51"/>
        <v>0.30560996862895667</v>
      </c>
      <c r="I39" s="92">
        <f t="shared" si="51"/>
        <v>0.46135524247289922</v>
      </c>
      <c r="J39" s="92">
        <f t="shared" si="51"/>
        <v>0.4230446572904985</v>
      </c>
      <c r="K39" s="92">
        <f t="shared" si="51"/>
        <v>0.3915421359413489</v>
      </c>
      <c r="L39" s="92">
        <f t="shared" si="51"/>
        <v>0.39507503870564703</v>
      </c>
      <c r="M39" s="92">
        <f t="shared" si="51"/>
        <v>0.41801008087038388</v>
      </c>
      <c r="N39" s="92">
        <f t="shared" si="51"/>
        <v>0.40724033097272166</v>
      </c>
      <c r="O39" s="92">
        <f t="shared" si="51"/>
        <v>0.40300384806349926</v>
      </c>
      <c r="P39" s="92">
        <f t="shared" si="51"/>
        <v>0.40556961940627412</v>
      </c>
      <c r="Q39" s="93">
        <f t="shared" si="51"/>
        <v>0.40846385959920856</v>
      </c>
      <c r="R39" s="71"/>
    </row>
    <row r="40" spans="2:18">
      <c r="H40" s="70"/>
      <c r="I40" s="70"/>
      <c r="J40" s="70"/>
      <c r="K40" s="70"/>
    </row>
    <row r="41" spans="2:18" s="1" customFormat="1">
      <c r="B41" s="79" t="s">
        <v>89</v>
      </c>
      <c r="C41" s="72">
        <f>SUM(Cashflow!L21:L25)</f>
        <v>43043</v>
      </c>
      <c r="D41" s="72">
        <f>SUM(Cashflow!M21:M25)</f>
        <v>-31873</v>
      </c>
      <c r="E41" s="72">
        <f>SUM(Cashflow!N21:N25)</f>
        <v>-241977</v>
      </c>
      <c r="F41" s="72">
        <f>SUM(Cashflow!O21:O25)</f>
        <v>25288</v>
      </c>
      <c r="G41" s="72">
        <f>SUM(Cashflow!P21:P25)</f>
        <v>-122704</v>
      </c>
    </row>
    <row r="42" spans="2:18" s="70" customFormat="1">
      <c r="B42" s="70" t="s">
        <v>82</v>
      </c>
      <c r="C42" s="70">
        <f>C41/C9</f>
        <v>2.1354457955809376E-3</v>
      </c>
      <c r="D42" s="70">
        <f>D41/D9</f>
        <v>-1.2751211631146929E-3</v>
      </c>
      <c r="E42" s="70">
        <f>E41/E9</f>
        <v>-8.1479652192933596E-3</v>
      </c>
      <c r="F42" s="70">
        <f>F41/F9</f>
        <v>7.9985956277844287E-4</v>
      </c>
      <c r="G42" s="70">
        <f>G41/G9</f>
        <v>-3.6385528971262806E-3</v>
      </c>
    </row>
    <row r="43" spans="2:18" s="70" customFormat="1">
      <c r="B43" s="70" t="s">
        <v>83</v>
      </c>
      <c r="D43" s="70">
        <f>D41/(D9-C9)</f>
        <v>-6.5858626182404402E-3</v>
      </c>
      <c r="E43" s="70">
        <f>E41/(E9-D9)</f>
        <v>-5.146488952713308E-2</v>
      </c>
      <c r="F43" s="70">
        <f>F41/(F9-E9)</f>
        <v>1.3186588559455934E-2</v>
      </c>
      <c r="G43" s="70">
        <f>G41/(G9-F9)</f>
        <v>-5.8215715643291151E-2</v>
      </c>
    </row>
    <row r="44" spans="2:18" s="70" customFormat="1"/>
    <row r="45" spans="2:18" s="70" customFormat="1">
      <c r="B45" s="76" t="s">
        <v>108</v>
      </c>
      <c r="C45" s="76"/>
      <c r="D45" s="76"/>
      <c r="E45" s="76"/>
      <c r="F45" s="76"/>
      <c r="G45" s="76"/>
      <c r="H45" s="76"/>
      <c r="I45" s="76"/>
      <c r="J45" s="76"/>
      <c r="K45" s="76"/>
      <c r="L45" s="76"/>
      <c r="M45" s="76"/>
      <c r="N45" s="76"/>
      <c r="O45" s="76"/>
      <c r="P45" s="76"/>
      <c r="Q45" s="76"/>
    </row>
    <row r="46" spans="2:18" ht="17">
      <c r="B46" s="100" t="s">
        <v>102</v>
      </c>
      <c r="E46" s="75" t="s">
        <v>99</v>
      </c>
      <c r="I46" s="75" t="s">
        <v>100</v>
      </c>
      <c r="M46" s="75" t="s">
        <v>109</v>
      </c>
    </row>
    <row r="47" spans="2:18" ht="17">
      <c r="B47" s="101" t="s">
        <v>103</v>
      </c>
      <c r="C47" s="104">
        <v>2</v>
      </c>
      <c r="E47" t="s">
        <v>115</v>
      </c>
      <c r="G47" s="103">
        <v>0.8</v>
      </c>
      <c r="M47" t="s">
        <v>115</v>
      </c>
      <c r="O47" s="103">
        <v>1.2</v>
      </c>
    </row>
    <row r="48" spans="2:18" ht="17">
      <c r="B48" s="101" t="s">
        <v>104</v>
      </c>
      <c r="C48" s="104">
        <v>2</v>
      </c>
      <c r="E48" t="s">
        <v>110</v>
      </c>
      <c r="G48" s="103">
        <v>0.06</v>
      </c>
      <c r="I48" t="s">
        <v>110</v>
      </c>
      <c r="K48" s="103">
        <v>0.08</v>
      </c>
      <c r="M48" t="s">
        <v>110</v>
      </c>
      <c r="O48" s="103">
        <v>0.1</v>
      </c>
    </row>
    <row r="49" spans="2:17" ht="17">
      <c r="B49" s="101" t="s">
        <v>78</v>
      </c>
      <c r="C49" s="104">
        <v>2</v>
      </c>
      <c r="E49" t="s">
        <v>114</v>
      </c>
      <c r="G49" s="103">
        <v>0.8</v>
      </c>
      <c r="M49" t="s">
        <v>114</v>
      </c>
      <c r="O49" s="103">
        <v>1.2</v>
      </c>
    </row>
    <row r="50" spans="2:17" ht="17">
      <c r="B50" s="101" t="s">
        <v>105</v>
      </c>
      <c r="C50" s="102">
        <v>2</v>
      </c>
      <c r="E50" t="s">
        <v>113</v>
      </c>
      <c r="G50" s="103">
        <v>0.3</v>
      </c>
      <c r="I50" t="s">
        <v>113</v>
      </c>
      <c r="K50" s="103">
        <v>0.32500000000000001</v>
      </c>
      <c r="M50" t="s">
        <v>113</v>
      </c>
      <c r="O50" s="103">
        <v>0.35</v>
      </c>
    </row>
    <row r="51" spans="2:17" ht="17">
      <c r="B51" s="101" t="s">
        <v>106</v>
      </c>
      <c r="C51" s="102">
        <v>2</v>
      </c>
      <c r="E51" s="101" t="s">
        <v>78</v>
      </c>
      <c r="G51" s="103">
        <v>0.25</v>
      </c>
      <c r="I51" s="101" t="s">
        <v>78</v>
      </c>
      <c r="K51" s="103">
        <v>0.21</v>
      </c>
      <c r="M51" s="101" t="s">
        <v>78</v>
      </c>
      <c r="O51" s="103">
        <v>0.18</v>
      </c>
    </row>
    <row r="52" spans="2:17" ht="17">
      <c r="C52" s="114">
        <v>2</v>
      </c>
      <c r="E52" s="101" t="s">
        <v>116</v>
      </c>
      <c r="G52" s="103">
        <v>0.43</v>
      </c>
      <c r="I52" s="101" t="s">
        <v>116</v>
      </c>
      <c r="K52" s="103">
        <v>0.43</v>
      </c>
      <c r="M52" s="101" t="s">
        <v>116</v>
      </c>
      <c r="O52" s="103">
        <v>0.43</v>
      </c>
    </row>
    <row r="53" spans="2:17" ht="17">
      <c r="E53" s="101" t="s">
        <v>111</v>
      </c>
      <c r="G53" s="103">
        <v>0.48</v>
      </c>
      <c r="I53" s="101" t="s">
        <v>111</v>
      </c>
      <c r="K53" s="103">
        <v>0.48</v>
      </c>
      <c r="M53" s="101" t="s">
        <v>111</v>
      </c>
      <c r="O53" s="103">
        <v>0.48</v>
      </c>
    </row>
    <row r="54" spans="2:17" ht="17">
      <c r="B54" s="101"/>
      <c r="C54" s="101"/>
      <c r="E54" s="101" t="s">
        <v>105</v>
      </c>
      <c r="G54" s="99">
        <v>0.105</v>
      </c>
      <c r="I54" s="101" t="s">
        <v>105</v>
      </c>
      <c r="K54" s="99">
        <v>9.5000000000000001E-2</v>
      </c>
      <c r="M54" s="101" t="s">
        <v>105</v>
      </c>
      <c r="O54" s="99">
        <v>8.5000000000000006E-2</v>
      </c>
    </row>
    <row r="55" spans="2:17" ht="17">
      <c r="B55" s="100" t="s">
        <v>107</v>
      </c>
      <c r="E55" s="101" t="s">
        <v>106</v>
      </c>
      <c r="G55" s="99">
        <v>0.03</v>
      </c>
      <c r="I55" s="101" t="s">
        <v>106</v>
      </c>
      <c r="K55" s="99">
        <v>2.5000000000000001E-2</v>
      </c>
      <c r="M55" s="101" t="s">
        <v>106</v>
      </c>
      <c r="O55" s="105">
        <v>0.02</v>
      </c>
    </row>
    <row r="56" spans="2:17" ht="17">
      <c r="B56" s="101" t="s">
        <v>105</v>
      </c>
      <c r="C56" s="99">
        <f>CHOOSE(C50,G54,K54,O54)</f>
        <v>9.5000000000000001E-2</v>
      </c>
    </row>
    <row r="57" spans="2:17" ht="17">
      <c r="B57" s="101" t="s">
        <v>126</v>
      </c>
      <c r="C57" s="99">
        <f>CHOOSE(C51,G55,K55,O55)</f>
        <v>2.5000000000000001E-2</v>
      </c>
    </row>
    <row r="58" spans="2:17" ht="17">
      <c r="B58" s="101"/>
      <c r="C58" s="111"/>
    </row>
    <row r="60" spans="2:17">
      <c r="H60">
        <v>1</v>
      </c>
      <c r="I60">
        <v>2</v>
      </c>
      <c r="J60">
        <v>3</v>
      </c>
      <c r="K60">
        <v>4</v>
      </c>
      <c r="L60">
        <v>5</v>
      </c>
      <c r="M60">
        <v>6</v>
      </c>
      <c r="N60">
        <v>7</v>
      </c>
      <c r="O60">
        <v>8</v>
      </c>
      <c r="P60">
        <v>9</v>
      </c>
      <c r="Q60">
        <v>10</v>
      </c>
    </row>
    <row r="61" spans="2:17">
      <c r="B61" s="76" t="s">
        <v>90</v>
      </c>
      <c r="C61" s="76">
        <v>2019</v>
      </c>
      <c r="D61" s="76">
        <v>2020</v>
      </c>
      <c r="E61" s="76">
        <v>2021</v>
      </c>
      <c r="F61" s="76">
        <v>2022</v>
      </c>
      <c r="G61" s="76">
        <v>2023</v>
      </c>
      <c r="H61" s="76">
        <v>2024</v>
      </c>
      <c r="I61" s="76">
        <v>2025</v>
      </c>
      <c r="J61" s="76">
        <v>2026</v>
      </c>
      <c r="K61" s="76">
        <v>2027</v>
      </c>
      <c r="L61" s="76">
        <v>2028</v>
      </c>
      <c r="M61" s="76">
        <v>2029</v>
      </c>
      <c r="N61" s="76">
        <v>2030</v>
      </c>
      <c r="O61" s="76">
        <v>2031</v>
      </c>
      <c r="P61" s="76">
        <v>2032</v>
      </c>
      <c r="Q61" s="76">
        <v>2033</v>
      </c>
    </row>
    <row r="62" spans="2:17" s="1" customFormat="1">
      <c r="B62" s="1" t="s">
        <v>1</v>
      </c>
      <c r="C62" s="94">
        <f>C9</f>
        <v>20156447</v>
      </c>
      <c r="D62" s="94">
        <f t="shared" ref="D62:G62" si="52">D9</f>
        <v>24996056</v>
      </c>
      <c r="E62" s="94">
        <f t="shared" si="52"/>
        <v>29697844</v>
      </c>
      <c r="F62" s="94">
        <f t="shared" si="52"/>
        <v>31615550</v>
      </c>
      <c r="G62" s="94">
        <f t="shared" si="52"/>
        <v>33723297</v>
      </c>
      <c r="H62" s="1">
        <f t="shared" ref="H62:Q62" ca="1" si="53">G62*(1+H63)</f>
        <v>36183376.798987299</v>
      </c>
      <c r="I62" s="1">
        <f t="shared" ca="1" si="53"/>
        <v>39050181.878895678</v>
      </c>
      <c r="J62" s="1">
        <f t="shared" ca="1" si="53"/>
        <v>42334896.51450453</v>
      </c>
      <c r="K62" s="1">
        <f t="shared" ca="1" si="53"/>
        <v>45871017.442786731</v>
      </c>
      <c r="L62" s="1">
        <f t="shared" ca="1" si="53"/>
        <v>49675534.069279164</v>
      </c>
      <c r="M62" s="1">
        <f t="shared" ca="1" si="53"/>
        <v>53766391.506822787</v>
      </c>
      <c r="N62" s="1">
        <f t="shared" ca="1" si="53"/>
        <v>58162528.766186789</v>
      </c>
      <c r="O62" s="1">
        <f t="shared" ca="1" si="53"/>
        <v>62883917.237599336</v>
      </c>
      <c r="P62" s="1">
        <f t="shared" ca="1" si="53"/>
        <v>67951599.351917595</v>
      </c>
      <c r="Q62" s="1">
        <f t="shared" ca="1" si="53"/>
        <v>73387727.300071001</v>
      </c>
    </row>
    <row r="63" spans="2:17">
      <c r="B63" t="s">
        <v>91</v>
      </c>
      <c r="C63" s="95"/>
      <c r="D63" s="89">
        <f>(D62-C62)/C62</f>
        <v>0.24010228588401517</v>
      </c>
      <c r="E63" s="89">
        <f>(E62-D62)/D62</f>
        <v>0.18810119484449866</v>
      </c>
      <c r="F63" s="89">
        <f>(F62-E62)/E62</f>
        <v>6.4573913176996955E-2</v>
      </c>
      <c r="G63" s="89">
        <f>(G62-F62)/F62</f>
        <v>6.6668047843545339E-2</v>
      </c>
      <c r="H63" s="89">
        <f ca="1">OFFSET(H63,$C$47,0)</f>
        <v>7.2948970528809776E-2</v>
      </c>
      <c r="I63" s="89">
        <f t="shared" ref="I63:Q63" ca="1" si="54">OFFSET(I63,$C$47,0)</f>
        <v>7.9229893214074212E-2</v>
      </c>
      <c r="J63" s="89">
        <f t="shared" ca="1" si="54"/>
        <v>8.4115219893099835E-2</v>
      </c>
      <c r="K63" s="89">
        <f t="shared" ca="1" si="54"/>
        <v>8.352733133694272E-2</v>
      </c>
      <c r="L63" s="89">
        <f t="shared" ca="1" si="54"/>
        <v>8.2939442780785605E-2</v>
      </c>
      <c r="M63" s="89">
        <f t="shared" ca="1" si="54"/>
        <v>8.235155422462849E-2</v>
      </c>
      <c r="N63" s="89">
        <f t="shared" ca="1" si="54"/>
        <v>8.1763665668471375E-2</v>
      </c>
      <c r="O63" s="89">
        <f t="shared" ca="1" si="54"/>
        <v>8.117577711231426E-2</v>
      </c>
      <c r="P63" s="89">
        <f t="shared" ca="1" si="54"/>
        <v>8.0587888556157145E-2</v>
      </c>
      <c r="Q63" s="89">
        <f t="shared" ca="1" si="54"/>
        <v>0.08</v>
      </c>
    </row>
    <row r="64" spans="2:17">
      <c r="B64" t="s">
        <v>99</v>
      </c>
      <c r="C64" s="95"/>
      <c r="D64" s="89"/>
      <c r="E64" s="89"/>
      <c r="F64" s="89"/>
      <c r="G64" s="89"/>
      <c r="H64" s="106">
        <f>H65</f>
        <v>7.2948970528809776E-2</v>
      </c>
      <c r="I64" s="99">
        <f>I65*$G$47</f>
        <v>6.3383914571259373E-2</v>
      </c>
      <c r="J64" s="99">
        <f>J65*$G$47</f>
        <v>6.7292175914479876E-2</v>
      </c>
      <c r="K64" s="99">
        <f t="shared" ref="K64:P64" si="55">J64-($J$64-$Q$64)/($Q$61-$J$61)</f>
        <v>6.6250436498125606E-2</v>
      </c>
      <c r="L64" s="99">
        <f t="shared" si="55"/>
        <v>6.5208697081771336E-2</v>
      </c>
      <c r="M64" s="99">
        <f t="shared" si="55"/>
        <v>6.4166957665417065E-2</v>
      </c>
      <c r="N64" s="99">
        <f t="shared" si="55"/>
        <v>6.3125218249062795E-2</v>
      </c>
      <c r="O64" s="99">
        <f t="shared" si="55"/>
        <v>6.2083478832708525E-2</v>
      </c>
      <c r="P64" s="99">
        <f t="shared" si="55"/>
        <v>6.1041739416354254E-2</v>
      </c>
      <c r="Q64" s="99">
        <f>G48</f>
        <v>0.06</v>
      </c>
    </row>
    <row r="65" spans="2:17">
      <c r="B65" t="s">
        <v>100</v>
      </c>
      <c r="C65" s="95"/>
      <c r="D65" s="89"/>
      <c r="E65" s="89"/>
      <c r="F65" s="89"/>
      <c r="G65" s="89"/>
      <c r="H65" s="99">
        <f>AVERAGE(I65,G63)</f>
        <v>7.2948970528809776E-2</v>
      </c>
      <c r="I65" s="99">
        <f t="shared" ref="I65:J65" si="56">I10</f>
        <v>7.9229893214074212E-2</v>
      </c>
      <c r="J65" s="99">
        <f t="shared" si="56"/>
        <v>8.4115219893099835E-2</v>
      </c>
      <c r="K65" s="99">
        <f t="shared" ref="K65:P65" si="57">J65-($J$65-$Q$65)/($Q$61-$J$61)</f>
        <v>8.352733133694272E-2</v>
      </c>
      <c r="L65" s="99">
        <f t="shared" si="57"/>
        <v>8.2939442780785605E-2</v>
      </c>
      <c r="M65" s="99">
        <f t="shared" si="57"/>
        <v>8.235155422462849E-2</v>
      </c>
      <c r="N65" s="99">
        <f t="shared" si="57"/>
        <v>8.1763665668471375E-2</v>
      </c>
      <c r="O65" s="99">
        <f t="shared" si="57"/>
        <v>8.117577711231426E-2</v>
      </c>
      <c r="P65" s="99">
        <f t="shared" si="57"/>
        <v>8.0587888556157145E-2</v>
      </c>
      <c r="Q65" s="99">
        <f>K48</f>
        <v>0.08</v>
      </c>
    </row>
    <row r="66" spans="2:17">
      <c r="B66" t="s">
        <v>101</v>
      </c>
      <c r="C66" s="95"/>
      <c r="D66" s="89"/>
      <c r="E66" s="89"/>
      <c r="F66" s="89"/>
      <c r="G66" s="89"/>
      <c r="H66" s="106">
        <f>H65</f>
        <v>7.2948970528809776E-2</v>
      </c>
      <c r="I66" s="99">
        <f>I65*$O$47</f>
        <v>9.5075871856889052E-2</v>
      </c>
      <c r="J66" s="99">
        <f>J65*$O$47</f>
        <v>0.10093826387171979</v>
      </c>
      <c r="K66" s="99">
        <f t="shared" ref="K66:P66" si="58">J66-($J$66-$Q$66)/($Q$61-$J$61)</f>
        <v>0.10080422617575982</v>
      </c>
      <c r="L66" s="99">
        <f t="shared" si="58"/>
        <v>0.10067018847979985</v>
      </c>
      <c r="M66" s="99">
        <f t="shared" si="58"/>
        <v>0.10053615078383987</v>
      </c>
      <c r="N66" s="99">
        <f t="shared" si="58"/>
        <v>0.1004021130878799</v>
      </c>
      <c r="O66" s="99">
        <f t="shared" si="58"/>
        <v>0.10026807539191993</v>
      </c>
      <c r="P66" s="99">
        <f t="shared" si="58"/>
        <v>0.10013403769595995</v>
      </c>
      <c r="Q66" s="99">
        <f>O48</f>
        <v>0.1</v>
      </c>
    </row>
    <row r="67" spans="2:17">
      <c r="H67" s="68"/>
      <c r="I67" s="68"/>
      <c r="J67" s="68"/>
      <c r="K67" s="68"/>
      <c r="L67" s="68"/>
      <c r="M67" s="68"/>
      <c r="N67" s="68"/>
      <c r="O67" s="68"/>
      <c r="P67" s="68"/>
      <c r="Q67" s="68"/>
    </row>
    <row r="68" spans="2:17" s="1" customFormat="1">
      <c r="B68" s="1" t="s">
        <v>92</v>
      </c>
      <c r="C68" s="94">
        <f>C12</f>
        <v>2604254</v>
      </c>
      <c r="D68" s="94">
        <f t="shared" ref="D68:G68" si="59">D12</f>
        <v>4585289</v>
      </c>
      <c r="E68" s="94">
        <f t="shared" si="59"/>
        <v>6194509</v>
      </c>
      <c r="F68" s="94">
        <f t="shared" si="59"/>
        <v>5632831</v>
      </c>
      <c r="G68" s="94">
        <f t="shared" si="59"/>
        <v>6954003</v>
      </c>
      <c r="H68" s="1">
        <f t="shared" ref="H68:Q68" ca="1" si="60">H62*H69</f>
        <v>8157871.4578620344</v>
      </c>
      <c r="I68" s="1">
        <f t="shared" ca="1" si="60"/>
        <v>9214427.2098308764</v>
      </c>
      <c r="J68" s="1">
        <f t="shared" ca="1" si="60"/>
        <v>10279275.506106339</v>
      </c>
      <c r="K68" s="1">
        <f t="shared" ca="1" si="60"/>
        <v>11676476.630308187</v>
      </c>
      <c r="L68" s="1">
        <f t="shared" ca="1" si="60"/>
        <v>13228189.008476635</v>
      </c>
      <c r="M68" s="1">
        <f t="shared" ca="1" si="60"/>
        <v>14948856.19426495</v>
      </c>
      <c r="N68" s="1">
        <f t="shared" ca="1" si="60"/>
        <v>16854052.567946844</v>
      </c>
      <c r="O68" s="1">
        <f t="shared" ca="1" si="60"/>
        <v>18960553.289167751</v>
      </c>
      <c r="P68" s="1">
        <f t="shared" ca="1" si="60"/>
        <v>21286407.016985755</v>
      </c>
      <c r="Q68" s="1">
        <f t="shared" ca="1" si="60"/>
        <v>23851011.372523077</v>
      </c>
    </row>
    <row r="69" spans="2:17" s="70" customFormat="1">
      <c r="B69" s="70" t="s">
        <v>95</v>
      </c>
      <c r="C69" s="89">
        <f>C68/C62</f>
        <v>0.12920203645017397</v>
      </c>
      <c r="D69" s="89">
        <f>D68/D62</f>
        <v>0.18344049957321268</v>
      </c>
      <c r="E69" s="89">
        <f>E68/E62</f>
        <v>0.20858446828665408</v>
      </c>
      <c r="F69" s="89">
        <f>F68/F62</f>
        <v>0.17816647187855345</v>
      </c>
      <c r="G69" s="89">
        <f>G68/G62</f>
        <v>0.20620768485358951</v>
      </c>
      <c r="H69" s="89">
        <f ca="1">OFFSET(H69,$C$48,0)</f>
        <v>0.22545909695444338</v>
      </c>
      <c r="I69" s="89">
        <f t="shared" ref="I69:Q69" ca="1" si="61">OFFSET(I69,$C$48,0)</f>
        <v>0.23596374629975106</v>
      </c>
      <c r="J69" s="89">
        <f t="shared" ca="1" si="61"/>
        <v>0.24280856580302529</v>
      </c>
      <c r="K69" s="89">
        <f t="shared" ca="1" si="61"/>
        <v>0.25455019925973599</v>
      </c>
      <c r="L69" s="89">
        <f t="shared" ca="1" si="61"/>
        <v>0.26629183271644669</v>
      </c>
      <c r="M69" s="89">
        <f t="shared" ca="1" si="61"/>
        <v>0.27803346617315738</v>
      </c>
      <c r="N69" s="89">
        <f t="shared" ca="1" si="61"/>
        <v>0.28977509962986808</v>
      </c>
      <c r="O69" s="89">
        <f t="shared" ca="1" si="61"/>
        <v>0.30151673308657878</v>
      </c>
      <c r="P69" s="89">
        <f t="shared" ca="1" si="61"/>
        <v>0.31325836654328948</v>
      </c>
      <c r="Q69" s="89">
        <f t="shared" ca="1" si="61"/>
        <v>0.32500000000000001</v>
      </c>
    </row>
    <row r="70" spans="2:17" s="70" customFormat="1">
      <c r="B70" t="s">
        <v>99</v>
      </c>
      <c r="C70" s="89"/>
      <c r="D70" s="89"/>
      <c r="E70" s="89"/>
      <c r="F70" s="89"/>
      <c r="G70" s="89"/>
      <c r="H70" s="106">
        <f>H71</f>
        <v>0.22545909695444338</v>
      </c>
      <c r="I70" s="99">
        <f>I71*G49</f>
        <v>0.18877099703980085</v>
      </c>
      <c r="J70" s="99">
        <f>J71*G49</f>
        <v>0.19424685264242025</v>
      </c>
      <c r="K70" s="99">
        <f t="shared" ref="K70:P70" si="62">J70-($J$70-$Q$70)/($Q$61-$J$61)</f>
        <v>0.20935444512207449</v>
      </c>
      <c r="L70" s="99">
        <f t="shared" si="62"/>
        <v>0.22446203760172873</v>
      </c>
      <c r="M70" s="99">
        <f t="shared" si="62"/>
        <v>0.23956963008138296</v>
      </c>
      <c r="N70" s="99">
        <f t="shared" si="62"/>
        <v>0.2546772225610372</v>
      </c>
      <c r="O70" s="99">
        <f t="shared" si="62"/>
        <v>0.26978481504069146</v>
      </c>
      <c r="P70" s="99">
        <f t="shared" si="62"/>
        <v>0.28489240752034573</v>
      </c>
      <c r="Q70" s="99">
        <f>G50</f>
        <v>0.3</v>
      </c>
    </row>
    <row r="71" spans="2:17" s="70" customFormat="1">
      <c r="B71" t="s">
        <v>100</v>
      </c>
      <c r="C71" s="89"/>
      <c r="D71" s="89"/>
      <c r="E71" s="89"/>
      <c r="F71" s="89"/>
      <c r="G71" s="89"/>
      <c r="H71" s="106">
        <f>H13</f>
        <v>0.22545909695444338</v>
      </c>
      <c r="I71" s="99">
        <f>I13</f>
        <v>0.23596374629975106</v>
      </c>
      <c r="J71" s="99">
        <f>J13</f>
        <v>0.24280856580302529</v>
      </c>
      <c r="K71" s="99">
        <f t="shared" ref="K71:P71" si="63">J71-($J$71-$Q$71)/($Q$61-$J$61)</f>
        <v>0.25455019925973599</v>
      </c>
      <c r="L71" s="99">
        <f t="shared" si="63"/>
        <v>0.26629183271644669</v>
      </c>
      <c r="M71" s="99">
        <f t="shared" si="63"/>
        <v>0.27803346617315738</v>
      </c>
      <c r="N71" s="99">
        <f t="shared" si="63"/>
        <v>0.28977509962986808</v>
      </c>
      <c r="O71" s="99">
        <f t="shared" si="63"/>
        <v>0.30151673308657878</v>
      </c>
      <c r="P71" s="99">
        <f t="shared" si="63"/>
        <v>0.31325836654328948</v>
      </c>
      <c r="Q71" s="99">
        <f>K50</f>
        <v>0.32500000000000001</v>
      </c>
    </row>
    <row r="72" spans="2:17" s="70" customFormat="1">
      <c r="B72" t="s">
        <v>101</v>
      </c>
      <c r="C72" s="89"/>
      <c r="D72" s="89"/>
      <c r="E72" s="89"/>
      <c r="F72" s="89"/>
      <c r="G72" s="89"/>
      <c r="H72" s="106">
        <f>H71</f>
        <v>0.22545909695444338</v>
      </c>
      <c r="I72" s="99">
        <f>I71*O49</f>
        <v>0.28315649555970124</v>
      </c>
      <c r="J72" s="99">
        <f>J71*O49</f>
        <v>0.29137027896363032</v>
      </c>
      <c r="K72" s="99">
        <f t="shared" ref="K72:P72" si="64">J72-($J$72-$Q$72)/($Q$61-$J$61)</f>
        <v>0.2997459533973974</v>
      </c>
      <c r="L72" s="99">
        <f t="shared" si="64"/>
        <v>0.30812162783116448</v>
      </c>
      <c r="M72" s="99">
        <f t="shared" si="64"/>
        <v>0.31649730226493156</v>
      </c>
      <c r="N72" s="99">
        <f t="shared" si="64"/>
        <v>0.32487297669869863</v>
      </c>
      <c r="O72" s="99">
        <f t="shared" si="64"/>
        <v>0.33324865113246571</v>
      </c>
      <c r="P72" s="99">
        <f t="shared" si="64"/>
        <v>0.34162432556623279</v>
      </c>
      <c r="Q72" s="99">
        <f>O50</f>
        <v>0.35</v>
      </c>
    </row>
    <row r="73" spans="2:17">
      <c r="H73" s="68"/>
      <c r="I73" s="68"/>
      <c r="J73" s="68"/>
      <c r="K73" s="68"/>
      <c r="L73" s="68"/>
      <c r="M73" s="68"/>
      <c r="N73" s="68"/>
      <c r="O73" s="68"/>
      <c r="P73" s="68"/>
      <c r="Q73" s="68"/>
    </row>
    <row r="74" spans="2:17" s="1" customFormat="1">
      <c r="B74" s="1" t="s">
        <v>78</v>
      </c>
      <c r="C74" s="94">
        <f>C15</f>
        <v>195315</v>
      </c>
      <c r="D74" s="94">
        <f>D15</f>
        <v>437954</v>
      </c>
      <c r="E74" s="94">
        <f>E15</f>
        <v>723875</v>
      </c>
      <c r="F74" s="94">
        <f>F15</f>
        <v>772005</v>
      </c>
      <c r="G74" s="94">
        <f>G15</f>
        <v>797415</v>
      </c>
      <c r="H74" s="1">
        <f t="shared" ref="H74:Q74" ca="1" si="65">H68*H75</f>
        <v>1060523.2895220646</v>
      </c>
      <c r="I74" s="1">
        <f t="shared" ca="1" si="65"/>
        <v>1279781.5569209552</v>
      </c>
      <c r="J74" s="1">
        <f t="shared" ca="1" si="65"/>
        <v>1519048.4914579368</v>
      </c>
      <c r="K74" s="1">
        <f t="shared" ca="1" si="65"/>
        <v>1829314.672081616</v>
      </c>
      <c r="L74" s="1">
        <f t="shared" ca="1" si="65"/>
        <v>2190000.1802922431</v>
      </c>
      <c r="M74" s="1">
        <f t="shared" ca="1" si="65"/>
        <v>2607744.9138884414</v>
      </c>
      <c r="N74" s="1">
        <f t="shared" ca="1" si="65"/>
        <v>3089909.6374569214</v>
      </c>
      <c r="O74" s="1">
        <f t="shared" ca="1" si="65"/>
        <v>3644639.6878066901</v>
      </c>
      <c r="P74" s="1">
        <f t="shared" ca="1" si="65"/>
        <v>4280932.966749358</v>
      </c>
      <c r="Q74" s="1">
        <f t="shared" ca="1" si="65"/>
        <v>5008712.388229846</v>
      </c>
    </row>
    <row r="75" spans="2:17" s="70" customFormat="1">
      <c r="B75" s="71" t="s">
        <v>80</v>
      </c>
      <c r="C75" s="89">
        <f>C74/C68</f>
        <v>7.4998444852153442E-2</v>
      </c>
      <c r="D75" s="89">
        <f>D74/D68</f>
        <v>9.5512845537107913E-2</v>
      </c>
      <c r="E75" s="89">
        <f>E74/E68</f>
        <v>0.11685752656102365</v>
      </c>
      <c r="F75" s="89">
        <f>F74/F68</f>
        <v>0.13705452906362714</v>
      </c>
      <c r="G75" s="89">
        <f>G74/G68</f>
        <v>0.11466992464627927</v>
      </c>
      <c r="H75" s="89">
        <f ca="1">OFFSET(H75,$C$49,0)</f>
        <v>0.13</v>
      </c>
      <c r="I75" s="89">
        <f t="shared" ref="I75:Q75" ca="1" si="66">OFFSET(I75,$C$49,0)</f>
        <v>0.1388888888888889</v>
      </c>
      <c r="J75" s="89">
        <f t="shared" ca="1" si="66"/>
        <v>0.14777777777777779</v>
      </c>
      <c r="K75" s="89">
        <f t="shared" ca="1" si="66"/>
        <v>0.15666666666666668</v>
      </c>
      <c r="L75" s="89">
        <f t="shared" ca="1" si="66"/>
        <v>0.16555555555555557</v>
      </c>
      <c r="M75" s="89">
        <f t="shared" ca="1" si="66"/>
        <v>0.17444444444444446</v>
      </c>
      <c r="N75" s="89">
        <f t="shared" ca="1" si="66"/>
        <v>0.18333333333333335</v>
      </c>
      <c r="O75" s="89">
        <f t="shared" ca="1" si="66"/>
        <v>0.19222222222222224</v>
      </c>
      <c r="P75" s="89">
        <f t="shared" ca="1" si="66"/>
        <v>0.20111111111111113</v>
      </c>
      <c r="Q75" s="89">
        <f t="shared" ca="1" si="66"/>
        <v>0.21</v>
      </c>
    </row>
    <row r="76" spans="2:17" s="70" customFormat="1">
      <c r="B76" t="s">
        <v>99</v>
      </c>
      <c r="C76" s="89"/>
      <c r="D76" s="89"/>
      <c r="E76" s="89"/>
      <c r="F76" s="89"/>
      <c r="G76" s="89"/>
      <c r="H76" s="99">
        <f>H77</f>
        <v>0.13</v>
      </c>
      <c r="I76" s="99">
        <f t="shared" ref="I76:P76" si="67">H76-($H$76-$Q$76)/($Q$61-$H$61)</f>
        <v>0.14333333333333334</v>
      </c>
      <c r="J76" s="99">
        <f t="shared" si="67"/>
        <v>0.15666666666666668</v>
      </c>
      <c r="K76" s="99">
        <f t="shared" si="67"/>
        <v>0.17</v>
      </c>
      <c r="L76" s="99">
        <f t="shared" si="67"/>
        <v>0.18333333333333335</v>
      </c>
      <c r="M76" s="99">
        <f t="shared" si="67"/>
        <v>0.19666666666666668</v>
      </c>
      <c r="N76" s="99">
        <f t="shared" si="67"/>
        <v>0.21000000000000002</v>
      </c>
      <c r="O76" s="99">
        <f t="shared" si="67"/>
        <v>0.22333333333333336</v>
      </c>
      <c r="P76" s="99">
        <f t="shared" si="67"/>
        <v>0.23666666666666669</v>
      </c>
      <c r="Q76" s="99">
        <f>G51</f>
        <v>0.25</v>
      </c>
    </row>
    <row r="77" spans="2:17" s="70" customFormat="1">
      <c r="B77" t="s">
        <v>100</v>
      </c>
      <c r="C77" s="89"/>
      <c r="D77" s="89"/>
      <c r="E77" s="89"/>
      <c r="F77" s="89"/>
      <c r="G77" s="89"/>
      <c r="H77" s="98">
        <f>H16</f>
        <v>0.13</v>
      </c>
      <c r="I77" s="99">
        <f t="shared" ref="I77:P77" si="68">H77-($H$77-$Q$77)/($Q$61-$H$61)</f>
        <v>0.1388888888888889</v>
      </c>
      <c r="J77" s="99">
        <f t="shared" si="68"/>
        <v>0.14777777777777779</v>
      </c>
      <c r="K77" s="99">
        <f t="shared" si="68"/>
        <v>0.15666666666666668</v>
      </c>
      <c r="L77" s="99">
        <f t="shared" si="68"/>
        <v>0.16555555555555557</v>
      </c>
      <c r="M77" s="99">
        <f t="shared" si="68"/>
        <v>0.17444444444444446</v>
      </c>
      <c r="N77" s="99">
        <f t="shared" si="68"/>
        <v>0.18333333333333335</v>
      </c>
      <c r="O77" s="99">
        <f t="shared" si="68"/>
        <v>0.19222222222222224</v>
      </c>
      <c r="P77" s="99">
        <f t="shared" si="68"/>
        <v>0.20111111111111113</v>
      </c>
      <c r="Q77" s="99">
        <f>K51</f>
        <v>0.21</v>
      </c>
    </row>
    <row r="78" spans="2:17" s="70" customFormat="1">
      <c r="B78" t="s">
        <v>101</v>
      </c>
      <c r="C78" s="89"/>
      <c r="D78" s="89"/>
      <c r="E78" s="89"/>
      <c r="F78" s="89"/>
      <c r="G78" s="89"/>
      <c r="H78" s="99">
        <f>H77</f>
        <v>0.13</v>
      </c>
      <c r="I78" s="99">
        <f t="shared" ref="I78:P78" si="69">H78-($H$78-$Q$78)/($Q$61-$H$61)</f>
        <v>0.13555555555555557</v>
      </c>
      <c r="J78" s="99">
        <f t="shared" si="69"/>
        <v>0.14111111111111113</v>
      </c>
      <c r="K78" s="99">
        <f t="shared" si="69"/>
        <v>0.1466666666666667</v>
      </c>
      <c r="L78" s="99">
        <f t="shared" si="69"/>
        <v>0.15222222222222226</v>
      </c>
      <c r="M78" s="99">
        <f t="shared" si="69"/>
        <v>0.15777777777777782</v>
      </c>
      <c r="N78" s="99">
        <f t="shared" si="69"/>
        <v>0.16333333333333339</v>
      </c>
      <c r="O78" s="99">
        <f t="shared" si="69"/>
        <v>0.16888888888888895</v>
      </c>
      <c r="P78" s="99">
        <f t="shared" si="69"/>
        <v>0.17444444444444451</v>
      </c>
      <c r="Q78" s="99">
        <f>O51</f>
        <v>0.18</v>
      </c>
    </row>
    <row r="81" spans="2:17" s="1" customFormat="1">
      <c r="B81" s="108" t="s">
        <v>140</v>
      </c>
      <c r="C81" s="109"/>
      <c r="D81" s="109"/>
      <c r="E81" s="109"/>
      <c r="F81" s="109"/>
      <c r="G81" s="109"/>
      <c r="H81" s="109">
        <f ca="1">H68-H74</f>
        <v>7097348.1683399696</v>
      </c>
      <c r="I81" s="109">
        <f t="shared" ref="I81:Q81" ca="1" si="70">I68-I74</f>
        <v>7934645.6529099215</v>
      </c>
      <c r="J81" s="109">
        <f t="shared" ca="1" si="70"/>
        <v>8760227.0146484021</v>
      </c>
      <c r="K81" s="109">
        <f t="shared" ca="1" si="70"/>
        <v>9847161.9582265709</v>
      </c>
      <c r="L81" s="109">
        <f t="shared" ca="1" si="70"/>
        <v>11038188.828184392</v>
      </c>
      <c r="M81" s="109">
        <f t="shared" ca="1" si="70"/>
        <v>12341111.280376509</v>
      </c>
      <c r="N81" s="109">
        <f t="shared" ca="1" si="70"/>
        <v>13764142.930489922</v>
      </c>
      <c r="O81" s="109">
        <f t="shared" ca="1" si="70"/>
        <v>15315913.601361061</v>
      </c>
      <c r="P81" s="109">
        <f t="shared" ca="1" si="70"/>
        <v>17005474.050236396</v>
      </c>
      <c r="Q81" s="109">
        <f t="shared" ca="1" si="70"/>
        <v>18842298.98429323</v>
      </c>
    </row>
    <row r="83" spans="2:17">
      <c r="B83" t="s">
        <v>81</v>
      </c>
      <c r="C83" s="94">
        <f>C28</f>
        <v>9319826</v>
      </c>
      <c r="D83" s="94">
        <f t="shared" ref="D83:G83" si="71">D28</f>
        <v>10922622</v>
      </c>
      <c r="E83" s="94">
        <f t="shared" si="71"/>
        <v>12438779</v>
      </c>
      <c r="F83" s="94">
        <f t="shared" si="71"/>
        <v>14100734</v>
      </c>
      <c r="G83" s="94">
        <f t="shared" si="71"/>
        <v>14280942</v>
      </c>
      <c r="H83" s="1">
        <f t="shared" ref="H83:Q83" ca="1" si="72">H62*H84</f>
        <v>15346335.017729932</v>
      </c>
      <c r="I83" s="1">
        <f t="shared" ca="1" si="72"/>
        <v>16587707.358580202</v>
      </c>
      <c r="J83" s="1">
        <f t="shared" ca="1" si="72"/>
        <v>18010613.446902987</v>
      </c>
      <c r="K83" s="1">
        <f t="shared" ca="1" si="72"/>
        <v>19544927.006226085</v>
      </c>
      <c r="L83" s="1">
        <f t="shared" ca="1" si="72"/>
        <v>21198390.242726345</v>
      </c>
      <c r="M83" s="1">
        <f t="shared" ca="1" si="72"/>
        <v>22979198.170606807</v>
      </c>
      <c r="N83" s="1">
        <f t="shared" ca="1" si="72"/>
        <v>24896018.077733468</v>
      </c>
      <c r="O83" s="1">
        <f t="shared" ca="1" si="72"/>
        <v>26958009.265519712</v>
      </c>
      <c r="P83" s="1">
        <f t="shared" ca="1" si="72"/>
        <v>29174843.016614914</v>
      </c>
      <c r="Q83" s="1">
        <f t="shared" ca="1" si="72"/>
        <v>31556722.739030529</v>
      </c>
    </row>
    <row r="84" spans="2:17" s="70" customFormat="1">
      <c r="B84" s="70" t="s">
        <v>79</v>
      </c>
      <c r="C84" s="89">
        <f>C83/C62</f>
        <v>0.46237444525813504</v>
      </c>
      <c r="D84" s="89">
        <f>D83/D62</f>
        <v>0.43697381698936827</v>
      </c>
      <c r="E84" s="89">
        <f>E83/E62</f>
        <v>0.41884451275318169</v>
      </c>
      <c r="F84" s="89">
        <f>F83/F62</f>
        <v>0.44600628488196475</v>
      </c>
      <c r="G84" s="89">
        <f>G83/G62</f>
        <v>0.42347407491029126</v>
      </c>
      <c r="H84" s="89">
        <f t="shared" ref="H84:P84" si="73">G84-($G$84-$Q$84)/($Q$61-$G$61)</f>
        <v>0.42412666741926214</v>
      </c>
      <c r="I84" s="89">
        <f t="shared" si="73"/>
        <v>0.42477925992823301</v>
      </c>
      <c r="J84" s="89">
        <f t="shared" si="73"/>
        <v>0.42543185243720388</v>
      </c>
      <c r="K84" s="89">
        <f t="shared" si="73"/>
        <v>0.42608444494617476</v>
      </c>
      <c r="L84" s="89">
        <f t="shared" si="73"/>
        <v>0.42673703745514563</v>
      </c>
      <c r="M84" s="89">
        <f t="shared" si="73"/>
        <v>0.4273896299641165</v>
      </c>
      <c r="N84" s="89">
        <f t="shared" si="73"/>
        <v>0.42804222247308737</v>
      </c>
      <c r="O84" s="89">
        <f t="shared" si="73"/>
        <v>0.42869481498205825</v>
      </c>
      <c r="P84" s="89">
        <f t="shared" si="73"/>
        <v>0.42934740749102912</v>
      </c>
      <c r="Q84" s="110">
        <f>K52</f>
        <v>0.43</v>
      </c>
    </row>
    <row r="85" spans="2:17" s="70" customFormat="1" hidden="1">
      <c r="B85" s="70" t="s">
        <v>85</v>
      </c>
      <c r="C85" s="89">
        <f>C83/C87</f>
        <v>0.65772840362807505</v>
      </c>
      <c r="D85" s="89">
        <f>D83/D87</f>
        <v>0.88966668070351829</v>
      </c>
      <c r="E85" s="89">
        <f>E83/E87</f>
        <v>0.68244496410694877</v>
      </c>
      <c r="F85" s="89">
        <f>F83/F87</f>
        <v>0.83140159465138253</v>
      </c>
      <c r="G85" s="89">
        <f>G83/G87</f>
        <v>1.1067705009317417</v>
      </c>
      <c r="H85" s="98"/>
      <c r="I85" s="98"/>
      <c r="J85" s="98"/>
      <c r="K85" s="98"/>
      <c r="L85" s="98"/>
      <c r="M85" s="98"/>
      <c r="N85" s="98"/>
      <c r="O85" s="98"/>
      <c r="P85" s="98"/>
      <c r="Q85" s="98"/>
    </row>
    <row r="87" spans="2:17">
      <c r="B87" t="s">
        <v>88</v>
      </c>
      <c r="C87" s="94">
        <f>C38</f>
        <v>14169718</v>
      </c>
      <c r="D87" s="94">
        <f t="shared" ref="D87:G87" si="74">D38</f>
        <v>12277207</v>
      </c>
      <c r="E87" s="94">
        <f t="shared" si="74"/>
        <v>18226787</v>
      </c>
      <c r="F87" s="94">
        <f t="shared" si="74"/>
        <v>16960196</v>
      </c>
      <c r="G87" s="94">
        <f t="shared" si="74"/>
        <v>12903255</v>
      </c>
      <c r="H87" s="1">
        <f t="shared" ref="H87:Q87" ca="1" si="75">H62*H88</f>
        <v>14196882.838200036</v>
      </c>
      <c r="I87" s="1">
        <f t="shared" ca="1" si="75"/>
        <v>15701965.566379635</v>
      </c>
      <c r="J87" s="1">
        <f t="shared" ca="1" si="75"/>
        <v>17434991.162026118</v>
      </c>
      <c r="K87" s="1">
        <f t="shared" ca="1" si="75"/>
        <v>19337975.006653953</v>
      </c>
      <c r="L87" s="1">
        <f t="shared" ca="1" si="75"/>
        <v>21425589.290721159</v>
      </c>
      <c r="M87" s="1">
        <f t="shared" ca="1" si="75"/>
        <v>23713589.479847468</v>
      </c>
      <c r="N87" s="1">
        <f t="shared" ca="1" si="75"/>
        <v>26218878.063350234</v>
      </c>
      <c r="O87" s="1">
        <f t="shared" ca="1" si="75"/>
        <v>28959570.668119691</v>
      </c>
      <c r="P87" s="1">
        <f t="shared" ca="1" si="75"/>
        <v>31955064.505338352</v>
      </c>
      <c r="Q87" s="1">
        <f t="shared" ca="1" si="75"/>
        <v>35226109.104034081</v>
      </c>
    </row>
    <row r="88" spans="2:17" s="70" customFormat="1">
      <c r="B88" s="70" t="s">
        <v>79</v>
      </c>
      <c r="C88" s="89">
        <f>C87/C62</f>
        <v>0.70298689049711982</v>
      </c>
      <c r="D88" s="89">
        <f>D87/D62</f>
        <v>0.49116576631129327</v>
      </c>
      <c r="E88" s="89">
        <f>E87/E62</f>
        <v>0.6137410850430759</v>
      </c>
      <c r="F88" s="89">
        <f>F87/F62</f>
        <v>0.53645108182524104</v>
      </c>
      <c r="G88" s="89">
        <f>G87/G62</f>
        <v>0.38262139671574819</v>
      </c>
      <c r="H88" s="89">
        <f t="shared" ref="H88:P88" si="76">G88-($G$88-$Q$88)/($Q$61-$G$61)</f>
        <v>0.39235925704417335</v>
      </c>
      <c r="I88" s="89">
        <f t="shared" si="76"/>
        <v>0.40209711737259851</v>
      </c>
      <c r="J88" s="89">
        <f t="shared" si="76"/>
        <v>0.41183497770102367</v>
      </c>
      <c r="K88" s="89">
        <f t="shared" si="76"/>
        <v>0.42157283802944884</v>
      </c>
      <c r="L88" s="89">
        <f t="shared" si="76"/>
        <v>0.431310698357874</v>
      </c>
      <c r="M88" s="89">
        <f t="shared" si="76"/>
        <v>0.44104855868629916</v>
      </c>
      <c r="N88" s="89">
        <f t="shared" si="76"/>
        <v>0.45078641901472433</v>
      </c>
      <c r="O88" s="89">
        <f t="shared" si="76"/>
        <v>0.46052427934314949</v>
      </c>
      <c r="P88" s="89">
        <f t="shared" si="76"/>
        <v>0.47026213967157465</v>
      </c>
      <c r="Q88" s="110">
        <v>0.48</v>
      </c>
    </row>
    <row r="89" spans="2:17" s="70" customFormat="1">
      <c r="C89" s="89"/>
      <c r="D89" s="89"/>
      <c r="E89" s="89"/>
      <c r="F89" s="89"/>
      <c r="G89" s="89"/>
      <c r="H89"/>
      <c r="I89"/>
      <c r="J89"/>
      <c r="K89"/>
      <c r="L89"/>
      <c r="M89"/>
      <c r="N89"/>
      <c r="O89"/>
      <c r="P89"/>
      <c r="Q89"/>
    </row>
    <row r="90" spans="2:17">
      <c r="B90" t="s">
        <v>97</v>
      </c>
      <c r="C90" s="94">
        <f>C41</f>
        <v>43043</v>
      </c>
      <c r="D90" s="94">
        <f t="shared" ref="D90:G90" si="77">D41</f>
        <v>-31873</v>
      </c>
      <c r="E90" s="94">
        <f t="shared" si="77"/>
        <v>-241977</v>
      </c>
      <c r="F90" s="94">
        <f t="shared" si="77"/>
        <v>25288</v>
      </c>
      <c r="G90" s="94">
        <f t="shared" si="77"/>
        <v>-122704</v>
      </c>
      <c r="H90" s="1">
        <f t="shared" ref="H90:Q90" ca="1" si="78">H62*H91</f>
        <v>-132511.4687360721</v>
      </c>
      <c r="I90" s="1">
        <f t="shared" ca="1" si="78"/>
        <v>-84620.609752787699</v>
      </c>
      <c r="J90" s="1">
        <f t="shared" ca="1" si="78"/>
        <v>-133605.31187162956</v>
      </c>
      <c r="K90" s="1">
        <f t="shared" ca="1" si="78"/>
        <v>-137385.30156274838</v>
      </c>
      <c r="L90" s="1">
        <f t="shared" ca="1" si="78"/>
        <v>-137732.37908429495</v>
      </c>
      <c r="M90" s="1">
        <f t="shared" ca="1" si="78"/>
        <v>-159929.73658474098</v>
      </c>
      <c r="N90" s="1">
        <f t="shared" ca="1" si="78"/>
        <v>-169489.58236737273</v>
      </c>
      <c r="O90" s="1">
        <f t="shared" ca="1" si="78"/>
        <v>-181550.86408198407</v>
      </c>
      <c r="P90" s="1">
        <f t="shared" ca="1" si="78"/>
        <v>-198773.77616243743</v>
      </c>
      <c r="Q90" s="1">
        <f t="shared" ca="1" si="78"/>
        <v>-213469.57579299129</v>
      </c>
    </row>
    <row r="91" spans="2:17" s="70" customFormat="1">
      <c r="B91" s="70" t="s">
        <v>79</v>
      </c>
      <c r="C91" s="89">
        <f>C90/C62</f>
        <v>2.1354457955809376E-3</v>
      </c>
      <c r="D91" s="89">
        <f>D90/D62</f>
        <v>-1.2751211631146929E-3</v>
      </c>
      <c r="E91" s="89">
        <f>E90/E62</f>
        <v>-8.1479652192933596E-3</v>
      </c>
      <c r="F91" s="89">
        <f>F90/F62</f>
        <v>7.9985956277844287E-4</v>
      </c>
      <c r="G91" s="89">
        <f>G90/G62</f>
        <v>-3.6385528971262806E-3</v>
      </c>
      <c r="H91" s="110">
        <f t="shared" ref="H91:Q91" si="79">AVERAGE(E91:G91)</f>
        <v>-3.6622195178803991E-3</v>
      </c>
      <c r="I91" s="110">
        <f t="shared" si="79"/>
        <v>-2.1669709507427456E-3</v>
      </c>
      <c r="J91" s="110">
        <f t="shared" si="79"/>
        <v>-3.155914455249808E-3</v>
      </c>
      <c r="K91" s="110">
        <f t="shared" si="79"/>
        <v>-2.9950349746243176E-3</v>
      </c>
      <c r="L91" s="110">
        <f t="shared" si="79"/>
        <v>-2.7726401268722903E-3</v>
      </c>
      <c r="M91" s="110">
        <f t="shared" si="79"/>
        <v>-2.974529852248805E-3</v>
      </c>
      <c r="N91" s="110">
        <f t="shared" si="79"/>
        <v>-2.9140683179151375E-3</v>
      </c>
      <c r="O91" s="110">
        <f t="shared" si="79"/>
        <v>-2.8870794323454106E-3</v>
      </c>
      <c r="P91" s="110">
        <f t="shared" si="79"/>
        <v>-2.9252258675031176E-3</v>
      </c>
      <c r="Q91" s="110">
        <f t="shared" si="79"/>
        <v>-2.9087912059212219E-3</v>
      </c>
    </row>
    <row r="92" spans="2:17" s="70" customFormat="1">
      <c r="C92" s="89"/>
      <c r="D92" s="89"/>
      <c r="E92" s="89"/>
      <c r="F92" s="89"/>
      <c r="G92" s="89"/>
      <c r="H92"/>
      <c r="I92"/>
      <c r="J92"/>
      <c r="K92"/>
      <c r="L92"/>
      <c r="M92"/>
      <c r="N92"/>
      <c r="O92"/>
      <c r="P92"/>
      <c r="Q92"/>
    </row>
    <row r="94" spans="2:17">
      <c r="B94" s="96" t="s">
        <v>98</v>
      </c>
      <c r="C94" s="97"/>
      <c r="D94" s="97"/>
      <c r="E94" s="97"/>
      <c r="F94" s="97"/>
      <c r="G94" s="97"/>
      <c r="H94" s="109">
        <f t="shared" ref="H94:Q94" ca="1" si="80">H81+H83-H87-H90</f>
        <v>8379311.8166059377</v>
      </c>
      <c r="I94" s="109">
        <f t="shared" ca="1" si="80"/>
        <v>8905008.0548632741</v>
      </c>
      <c r="J94" s="109">
        <f t="shared" ca="1" si="80"/>
        <v>9469454.6113969013</v>
      </c>
      <c r="K94" s="109">
        <f t="shared" ca="1" si="80"/>
        <v>10191499.25936145</v>
      </c>
      <c r="L94" s="109">
        <f t="shared" ca="1" si="80"/>
        <v>10948722.159273872</v>
      </c>
      <c r="M94" s="109">
        <f t="shared" ca="1" si="80"/>
        <v>11766649.707720589</v>
      </c>
      <c r="N94" s="109">
        <f t="shared" ca="1" si="80"/>
        <v>12610772.527240532</v>
      </c>
      <c r="O94" s="109">
        <f t="shared" ca="1" si="80"/>
        <v>13495903.062843068</v>
      </c>
      <c r="P94" s="109">
        <f t="shared" ca="1" si="80"/>
        <v>14424026.337675396</v>
      </c>
      <c r="Q94" s="109">
        <f t="shared" ca="1" si="80"/>
        <v>15386382.195082672</v>
      </c>
    </row>
    <row r="95" spans="2:17">
      <c r="B95" t="s">
        <v>117</v>
      </c>
      <c r="H95" s="1" cm="1">
        <f t="array" aca="1" ref="H95" ca="1">H94/(1+wacc)^H60</f>
        <v>7652339.5585442353</v>
      </c>
      <c r="I95" s="1" cm="1">
        <f t="array" aca="1" ref="I95" ca="1">I94/(1+wacc)^I60</f>
        <v>7426874.3811540827</v>
      </c>
      <c r="J95" s="1" cm="1">
        <f t="array" aca="1" ref="J95" ca="1">J94/(1+wacc)^J60</f>
        <v>7212446.5750925681</v>
      </c>
      <c r="K95" s="1" cm="1">
        <f t="array" aca="1" ref="K95" ca="1">K94/(1+wacc)^K60</f>
        <v>7088944.8968693623</v>
      </c>
      <c r="L95" s="1" cm="1">
        <f t="array" aca="1" ref="L95" ca="1">L94/(1+wacc)^L60</f>
        <v>6954931.2150553213</v>
      </c>
      <c r="M95" s="1" cm="1">
        <f t="array" aca="1" ref="M95" ca="1">M94/(1+wacc)^M60</f>
        <v>6826028.6959131006</v>
      </c>
      <c r="N95" s="1" cm="1">
        <f t="array" aca="1" ref="N95" ca="1">N94/(1+wacc)^N60</f>
        <v>6681021.3213899974</v>
      </c>
      <c r="O95" s="1" cm="1">
        <f t="array" aca="1" ref="O95" ca="1">O94/(1+wacc)^O60</f>
        <v>6529636.3748209979</v>
      </c>
      <c r="P95" s="1" cm="1">
        <f t="array" aca="1" ref="P95" ca="1">P94/(1+wacc)^P60</f>
        <v>6373227.6865851805</v>
      </c>
      <c r="Q95" s="1" cm="1">
        <f t="array" aca="1" ref="Q95" ca="1">Q94/(1+wacc)^Q60</f>
        <v>6208623.4983110521</v>
      </c>
    </row>
    <row r="96" spans="2:17">
      <c r="B96" t="s">
        <v>118</v>
      </c>
      <c r="Q96" s="107">
        <f ca="1">(Q94*(1+trg))/(wacc+trg)</f>
        <v>131425347.91633114</v>
      </c>
    </row>
    <row r="97" spans="2:17">
      <c r="B97" t="s">
        <v>119</v>
      </c>
      <c r="Q97" s="107">
        <f ca="1">Q96/(1+wacc)^Q60</f>
        <v>53031992.381406896</v>
      </c>
    </row>
    <row r="98" spans="2:17">
      <c r="B98" t="s">
        <v>120</v>
      </c>
      <c r="Q98" s="1">
        <f ca="1">SUM(H95:Q95,Q97)</f>
        <v>121986066.58514279</v>
      </c>
    </row>
    <row r="99" spans="2:17">
      <c r="B99" t="s">
        <v>121</v>
      </c>
      <c r="Q99" s="1">
        <v>6000000</v>
      </c>
    </row>
    <row r="100" spans="2:17">
      <c r="B100" t="s">
        <v>122</v>
      </c>
      <c r="Q100" s="1">
        <v>14142000</v>
      </c>
    </row>
    <row r="101" spans="2:17">
      <c r="B101" t="s">
        <v>123</v>
      </c>
      <c r="Q101" s="1">
        <f ca="1">Q100+Q98-Q99</f>
        <v>130128066.58514279</v>
      </c>
    </row>
    <row r="102" spans="2:17">
      <c r="B102" t="s">
        <v>124</v>
      </c>
      <c r="Q102" s="112">
        <v>441537</v>
      </c>
    </row>
    <row r="103" spans="2:17">
      <c r="B103" t="s">
        <v>125</v>
      </c>
      <c r="Q103" s="113">
        <f ca="1">Q101/Q102</f>
        <v>294.71610892211248</v>
      </c>
    </row>
  </sheetData>
  <pageMargins left="0.7" right="0.7" top="0.75" bottom="0.75" header="0.3" footer="0.3"/>
  <ignoredErrors>
    <ignoredError sqref="C41:D41 F41" formulaRange="1"/>
  </ignoredErrors>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98CD0-59D0-4249-80CA-BD5447C1B990}">
  <sheetPr>
    <pageSetUpPr fitToPage="1"/>
  </sheetPr>
  <dimension ref="A1:U28"/>
  <sheetViews>
    <sheetView view="pageBreakPreview" zoomScale="140" zoomScaleNormal="130" zoomScaleSheetLayoutView="100" zoomScalePageLayoutView="130" workbookViewId="0">
      <pane xSplit="4" topLeftCell="E1" activePane="topRight" state="frozen"/>
      <selection pane="topRight" activeCell="K19" sqref="K19"/>
    </sheetView>
  </sheetViews>
  <sheetFormatPr baseColWidth="10" defaultColWidth="9.1640625" defaultRowHeight="14"/>
  <cols>
    <col min="1" max="1" width="4.5" style="6" customWidth="1"/>
    <col min="2" max="2" width="4.33203125" style="6" customWidth="1"/>
    <col min="3" max="3" width="9.1640625" style="6"/>
    <col min="4" max="5" width="23.83203125" style="6" customWidth="1"/>
    <col min="6" max="6" width="16.83203125" style="6" customWidth="1"/>
    <col min="7" max="7" width="13" style="6" hidden="1" customWidth="1"/>
    <col min="8" max="8" width="13.6640625" style="6" hidden="1" customWidth="1"/>
    <col min="9" max="9" width="13.33203125" style="6" hidden="1" customWidth="1"/>
    <col min="10" max="10" width="2.83203125" style="6" hidden="1" customWidth="1"/>
    <col min="11" max="11" width="17.5" style="6" customWidth="1"/>
    <col min="12" max="15" width="13" style="6" hidden="1" customWidth="1"/>
    <col min="16" max="16" width="17.5" style="6" customWidth="1"/>
    <col min="17" max="20" width="17.5" style="6" hidden="1" customWidth="1"/>
    <col min="21" max="21" width="17.5" style="6" customWidth="1"/>
    <col min="22" max="16384" width="9.1640625" style="6"/>
  </cols>
  <sheetData>
    <row r="1" spans="1:21" ht="16">
      <c r="A1" s="38" t="s">
        <v>34</v>
      </c>
      <c r="B1" s="37"/>
      <c r="C1" s="37"/>
      <c r="D1" s="37"/>
      <c r="E1" s="37"/>
    </row>
    <row r="2" spans="1:21" ht="16">
      <c r="A2" s="38" t="s">
        <v>33</v>
      </c>
      <c r="B2" s="37"/>
      <c r="C2" s="37"/>
      <c r="D2" s="37"/>
      <c r="E2" s="37"/>
    </row>
    <row r="3" spans="1:21" ht="12.75" customHeight="1">
      <c r="A3" s="8" t="s">
        <v>32</v>
      </c>
      <c r="B3" s="37"/>
      <c r="C3" s="37"/>
      <c r="D3" s="37"/>
      <c r="E3" s="37"/>
    </row>
    <row r="4" spans="1:21">
      <c r="A4" s="8" t="s">
        <v>31</v>
      </c>
      <c r="B4" s="8"/>
      <c r="C4" s="8"/>
      <c r="D4" s="8"/>
      <c r="E4" s="8"/>
      <c r="K4" s="3">
        <f>SUM(K11:K13)</f>
        <v>6170652</v>
      </c>
      <c r="P4" s="3">
        <f>SUM(P11:P13)</f>
        <v>6814434</v>
      </c>
      <c r="U4" s="3">
        <f>SUM(U11:U13)</f>
        <v>7053926</v>
      </c>
    </row>
    <row r="5" spans="1:21" ht="24.75" customHeight="1">
      <c r="A5" s="8"/>
      <c r="B5" s="8"/>
      <c r="C5" s="8"/>
      <c r="D5" s="8"/>
      <c r="E5" s="36" t="s">
        <v>29</v>
      </c>
      <c r="F5" s="36" t="s">
        <v>29</v>
      </c>
      <c r="G5" s="124" t="s">
        <v>30</v>
      </c>
      <c r="H5" s="124"/>
      <c r="I5" s="124"/>
      <c r="J5" s="124"/>
      <c r="K5" s="36" t="s">
        <v>29</v>
      </c>
      <c r="L5" s="124" t="s">
        <v>30</v>
      </c>
      <c r="M5" s="124"/>
      <c r="N5" s="124"/>
      <c r="O5" s="124"/>
      <c r="P5" s="36" t="s">
        <v>29</v>
      </c>
      <c r="Q5" s="124" t="s">
        <v>30</v>
      </c>
      <c r="R5" s="124"/>
      <c r="S5" s="124"/>
      <c r="T5" s="124"/>
      <c r="U5" s="36" t="s">
        <v>29</v>
      </c>
    </row>
    <row r="6" spans="1:21">
      <c r="A6" s="8"/>
      <c r="B6" s="8"/>
      <c r="C6" s="8"/>
      <c r="D6" s="8"/>
      <c r="E6" s="34" t="s">
        <v>25</v>
      </c>
      <c r="F6" s="34" t="s">
        <v>25</v>
      </c>
      <c r="G6" s="35" t="s">
        <v>28</v>
      </c>
      <c r="H6" s="35" t="s">
        <v>27</v>
      </c>
      <c r="I6" s="35" t="s">
        <v>26</v>
      </c>
      <c r="J6" s="35" t="s">
        <v>25</v>
      </c>
      <c r="K6" s="34" t="s">
        <v>25</v>
      </c>
      <c r="L6" s="35" t="s">
        <v>28</v>
      </c>
      <c r="M6" s="35" t="s">
        <v>27</v>
      </c>
      <c r="N6" s="35" t="s">
        <v>26</v>
      </c>
      <c r="O6" s="35" t="s">
        <v>25</v>
      </c>
      <c r="P6" s="34" t="s">
        <v>25</v>
      </c>
      <c r="Q6" s="35" t="s">
        <v>28</v>
      </c>
      <c r="R6" s="35" t="s">
        <v>27</v>
      </c>
      <c r="S6" s="35" t="s">
        <v>26</v>
      </c>
      <c r="T6" s="35" t="s">
        <v>25</v>
      </c>
      <c r="U6" s="34" t="s">
        <v>25</v>
      </c>
    </row>
    <row r="7" spans="1:21">
      <c r="A7" s="8"/>
      <c r="B7" s="8"/>
      <c r="C7" s="8"/>
      <c r="D7" s="8"/>
      <c r="E7" s="32">
        <v>2019</v>
      </c>
      <c r="F7" s="32">
        <v>2020</v>
      </c>
      <c r="G7" s="33">
        <v>2021</v>
      </c>
      <c r="H7" s="33">
        <v>2021</v>
      </c>
      <c r="I7" s="33">
        <v>2021</v>
      </c>
      <c r="J7" s="33">
        <v>2021</v>
      </c>
      <c r="K7" s="32">
        <v>2021</v>
      </c>
      <c r="L7" s="33">
        <v>2022</v>
      </c>
      <c r="M7" s="33">
        <v>2022</v>
      </c>
      <c r="N7" s="33">
        <v>2022</v>
      </c>
      <c r="O7" s="33">
        <v>2022</v>
      </c>
      <c r="P7" s="32">
        <v>2022</v>
      </c>
      <c r="Q7" s="33">
        <v>2023</v>
      </c>
      <c r="R7" s="33">
        <v>2023</v>
      </c>
      <c r="S7" s="33">
        <v>2023</v>
      </c>
      <c r="T7" s="33">
        <v>2023</v>
      </c>
      <c r="U7" s="32">
        <v>2023</v>
      </c>
    </row>
    <row r="8" spans="1:21">
      <c r="A8" s="8"/>
      <c r="B8" s="8"/>
      <c r="C8" s="8"/>
      <c r="D8" s="8"/>
      <c r="E8" s="12"/>
      <c r="F8" s="12"/>
      <c r="K8" s="12"/>
      <c r="P8" s="12"/>
      <c r="R8" s="13"/>
      <c r="S8" s="13"/>
      <c r="T8" s="13"/>
      <c r="U8" s="12"/>
    </row>
    <row r="9" spans="1:21">
      <c r="A9" s="8" t="s">
        <v>24</v>
      </c>
      <c r="B9" s="8"/>
      <c r="C9" s="8"/>
      <c r="D9" s="8"/>
      <c r="E9" s="29">
        <v>20156447</v>
      </c>
      <c r="F9" s="29">
        <v>24996056</v>
      </c>
      <c r="G9" s="30">
        <v>7163282</v>
      </c>
      <c r="H9" s="30">
        <v>7341777</v>
      </c>
      <c r="I9" s="30">
        <v>7483467</v>
      </c>
      <c r="J9" s="30">
        <v>7709318</v>
      </c>
      <c r="K9" s="29">
        <f t="shared" ref="K9:K14" si="0">SUM(G9:J9)</f>
        <v>29697844</v>
      </c>
      <c r="L9" s="30">
        <v>7867767</v>
      </c>
      <c r="M9" s="30">
        <v>7970141</v>
      </c>
      <c r="N9" s="31">
        <v>7925589</v>
      </c>
      <c r="O9" s="31">
        <v>7852053</v>
      </c>
      <c r="P9" s="29">
        <f>SUM(L9:O9)</f>
        <v>31615550</v>
      </c>
      <c r="Q9" s="30">
        <v>8161503</v>
      </c>
      <c r="R9" s="30">
        <v>8187301</v>
      </c>
      <c r="S9" s="30">
        <v>8541668</v>
      </c>
      <c r="T9" s="30">
        <v>8832825</v>
      </c>
      <c r="U9" s="29">
        <f>SUM(Q9:T9)</f>
        <v>33723297</v>
      </c>
    </row>
    <row r="10" spans="1:21">
      <c r="B10" s="8" t="s">
        <v>23</v>
      </c>
      <c r="C10" s="8"/>
      <c r="D10" s="8"/>
      <c r="E10" s="2">
        <v>12440213</v>
      </c>
      <c r="F10" s="2">
        <v>15276319</v>
      </c>
      <c r="G10" s="27">
        <v>3868511</v>
      </c>
      <c r="H10" s="27">
        <v>4018008</v>
      </c>
      <c r="I10" s="27">
        <v>4206589</v>
      </c>
      <c r="J10" s="27">
        <v>5239575</v>
      </c>
      <c r="K10" s="2">
        <f t="shared" si="0"/>
        <v>17332683</v>
      </c>
      <c r="L10" s="27">
        <v>4284705</v>
      </c>
      <c r="M10" s="27">
        <v>4690755</v>
      </c>
      <c r="N10" s="27">
        <v>4788665</v>
      </c>
      <c r="O10" s="27">
        <v>5404160</v>
      </c>
      <c r="P10" s="2">
        <f>SUM(L10:O10)</f>
        <v>19168285</v>
      </c>
      <c r="Q10" s="27">
        <v>4803625</v>
      </c>
      <c r="R10" s="27">
        <v>4673470</v>
      </c>
      <c r="S10" s="27">
        <v>4930788</v>
      </c>
      <c r="T10" s="27">
        <v>5307485</v>
      </c>
      <c r="U10" s="2">
        <f>SUM(Q10:T10)</f>
        <v>19715368</v>
      </c>
    </row>
    <row r="11" spans="1:21">
      <c r="B11" s="8" t="s">
        <v>22</v>
      </c>
      <c r="C11" s="8"/>
      <c r="D11" s="8"/>
      <c r="E11" s="2">
        <v>2652462</v>
      </c>
      <c r="F11" s="2">
        <v>2228362</v>
      </c>
      <c r="G11" s="27">
        <v>512512</v>
      </c>
      <c r="H11" s="27">
        <v>603973</v>
      </c>
      <c r="I11" s="27">
        <v>635948</v>
      </c>
      <c r="J11" s="27">
        <v>792713</v>
      </c>
      <c r="K11" s="2">
        <f t="shared" si="0"/>
        <v>2545146</v>
      </c>
      <c r="L11" s="27">
        <v>555978</v>
      </c>
      <c r="M11" s="27">
        <v>574960</v>
      </c>
      <c r="N11" s="27">
        <v>567954</v>
      </c>
      <c r="O11" s="27">
        <v>831610</v>
      </c>
      <c r="P11" s="2">
        <f>SUM(L11:O11)</f>
        <v>2530502</v>
      </c>
      <c r="Q11" s="27">
        <v>555362</v>
      </c>
      <c r="R11" s="27">
        <v>627168</v>
      </c>
      <c r="S11" s="27">
        <v>558736</v>
      </c>
      <c r="T11" s="27">
        <v>916617</v>
      </c>
      <c r="U11" s="2">
        <f>SUM(Q11:T11)</f>
        <v>2657883</v>
      </c>
    </row>
    <row r="12" spans="1:21">
      <c r="B12" s="8" t="s">
        <v>21</v>
      </c>
      <c r="C12" s="8"/>
      <c r="D12" s="8"/>
      <c r="E12" s="2">
        <v>1545149</v>
      </c>
      <c r="F12" s="2">
        <v>1829600</v>
      </c>
      <c r="G12" s="27">
        <v>525207</v>
      </c>
      <c r="H12" s="27">
        <v>537321</v>
      </c>
      <c r="I12" s="27">
        <v>563887</v>
      </c>
      <c r="J12" s="27">
        <v>647470</v>
      </c>
      <c r="K12" s="2">
        <f t="shared" si="0"/>
        <v>2273885</v>
      </c>
      <c r="L12" s="27">
        <v>657530</v>
      </c>
      <c r="M12" s="27">
        <v>716846</v>
      </c>
      <c r="N12" s="27">
        <v>662739</v>
      </c>
      <c r="O12" s="27">
        <v>673926</v>
      </c>
      <c r="P12" s="2">
        <f>SUM(L12:O12)</f>
        <v>2711041</v>
      </c>
      <c r="Q12" s="27">
        <v>687275</v>
      </c>
      <c r="R12" s="27">
        <v>657983</v>
      </c>
      <c r="S12" s="27">
        <v>657159</v>
      </c>
      <c r="T12" s="27">
        <v>673341</v>
      </c>
      <c r="U12" s="2">
        <f>SUM(Q12:T12)</f>
        <v>2675758</v>
      </c>
    </row>
    <row r="13" spans="1:21">
      <c r="B13" s="8" t="s">
        <v>20</v>
      </c>
      <c r="C13" s="8"/>
      <c r="D13" s="8"/>
      <c r="E13" s="2">
        <v>914369</v>
      </c>
      <c r="F13" s="2">
        <v>1076486</v>
      </c>
      <c r="G13" s="28">
        <v>297196</v>
      </c>
      <c r="H13" s="28">
        <v>334845</v>
      </c>
      <c r="I13" s="28">
        <v>321790</v>
      </c>
      <c r="J13" s="27">
        <v>397790</v>
      </c>
      <c r="K13" s="2">
        <f t="shared" si="0"/>
        <v>1351621</v>
      </c>
      <c r="L13" s="28">
        <v>397928</v>
      </c>
      <c r="M13" s="28">
        <v>409297</v>
      </c>
      <c r="N13" s="27">
        <v>373213</v>
      </c>
      <c r="O13" s="27">
        <v>392453</v>
      </c>
      <c r="P13" s="2">
        <f>SUM(L13:O13)</f>
        <v>1572891</v>
      </c>
      <c r="Q13" s="28">
        <v>400924</v>
      </c>
      <c r="R13" s="28">
        <v>401497</v>
      </c>
      <c r="S13" s="28">
        <v>478591</v>
      </c>
      <c r="T13" s="27">
        <v>439273</v>
      </c>
      <c r="U13" s="2">
        <f>SUM(Q13:T13)</f>
        <v>1720285</v>
      </c>
    </row>
    <row r="14" spans="1:21">
      <c r="A14" s="8" t="s">
        <v>19</v>
      </c>
      <c r="B14" s="8"/>
      <c r="C14" s="8"/>
      <c r="D14" s="8"/>
      <c r="E14" s="23">
        <v>2604254</v>
      </c>
      <c r="F14" s="23">
        <v>4585289</v>
      </c>
      <c r="G14" s="24">
        <f>G9-SUM(G10:G13)</f>
        <v>1959856</v>
      </c>
      <c r="H14" s="24">
        <f>H9-SUM(H10:H13)</f>
        <v>1847630</v>
      </c>
      <c r="I14" s="24">
        <f>I9-SUM(I10:I13)</f>
        <v>1755253</v>
      </c>
      <c r="J14" s="24">
        <f>J9-SUM(J10:J13)</f>
        <v>631770</v>
      </c>
      <c r="K14" s="23">
        <f t="shared" si="0"/>
        <v>6194509</v>
      </c>
      <c r="L14" s="24">
        <v>1971626</v>
      </c>
      <c r="M14" s="24">
        <f>M9-SUM(M10:M13)</f>
        <v>1578283</v>
      </c>
      <c r="N14" s="24">
        <f>N9-SUM(N10:N13)</f>
        <v>1533018</v>
      </c>
      <c r="O14" s="24">
        <f>O9-SUM(O10:O13)</f>
        <v>549904</v>
      </c>
      <c r="P14" s="23">
        <f>P9-SUM(P10:P13)</f>
        <v>5632831</v>
      </c>
      <c r="Q14" s="24">
        <v>1714317</v>
      </c>
      <c r="R14" s="24">
        <v>1827183</v>
      </c>
      <c r="S14" s="24">
        <v>1916394</v>
      </c>
      <c r="T14" s="24">
        <v>1496109</v>
      </c>
      <c r="U14" s="23">
        <f>U9-SUM(U10:U13)</f>
        <v>6954003</v>
      </c>
    </row>
    <row r="15" spans="1:21">
      <c r="A15" s="8" t="s">
        <v>18</v>
      </c>
      <c r="B15" s="8"/>
      <c r="C15" s="8"/>
      <c r="D15" s="8"/>
      <c r="E15" s="25"/>
      <c r="F15" s="25"/>
      <c r="G15" s="3"/>
      <c r="H15" s="3"/>
      <c r="I15" s="3"/>
      <c r="J15" s="3"/>
      <c r="K15" s="25"/>
      <c r="L15" s="3"/>
      <c r="M15" s="3"/>
      <c r="N15" s="3"/>
      <c r="O15" s="3"/>
      <c r="P15" s="25"/>
      <c r="Q15" s="3"/>
      <c r="R15" s="26"/>
      <c r="S15" s="26"/>
      <c r="T15" s="26"/>
      <c r="U15" s="25"/>
    </row>
    <row r="16" spans="1:21">
      <c r="A16" s="8"/>
      <c r="B16" s="8" t="s">
        <v>17</v>
      </c>
      <c r="C16" s="8"/>
      <c r="D16" s="8"/>
      <c r="E16" s="2">
        <v>-626023</v>
      </c>
      <c r="F16" s="2">
        <v>-767499</v>
      </c>
      <c r="G16" s="3">
        <v>-194440</v>
      </c>
      <c r="H16" s="3">
        <v>-191322</v>
      </c>
      <c r="I16" s="3">
        <v>-190429</v>
      </c>
      <c r="J16" s="3">
        <v>-189429</v>
      </c>
      <c r="K16" s="2">
        <f>SUM(G16:J16)</f>
        <v>-765620</v>
      </c>
      <c r="L16" s="3">
        <v>-187579</v>
      </c>
      <c r="M16" s="3">
        <v>-175455</v>
      </c>
      <c r="N16" s="3">
        <v>-172575</v>
      </c>
      <c r="O16" s="3">
        <v>-170603</v>
      </c>
      <c r="P16" s="2">
        <f>SUM(L16:O16)</f>
        <v>-706212</v>
      </c>
      <c r="Q16" s="3">
        <v>-174239</v>
      </c>
      <c r="R16" s="3">
        <v>-174812</v>
      </c>
      <c r="S16" s="3">
        <v>-175563</v>
      </c>
      <c r="T16" s="3">
        <v>-175212</v>
      </c>
      <c r="U16" s="2">
        <f>SUM(Q16:T16)</f>
        <v>-699826</v>
      </c>
    </row>
    <row r="17" spans="1:21">
      <c r="A17" s="8"/>
      <c r="B17" s="8" t="s">
        <v>16</v>
      </c>
      <c r="C17" s="8"/>
      <c r="D17" s="8"/>
      <c r="E17" s="2">
        <v>84000</v>
      </c>
      <c r="F17" s="2">
        <v>-618441</v>
      </c>
      <c r="G17" s="3">
        <v>269086</v>
      </c>
      <c r="H17" s="3">
        <v>-62519</v>
      </c>
      <c r="I17" s="3">
        <v>96135</v>
      </c>
      <c r="J17" s="3">
        <v>108512</v>
      </c>
      <c r="K17" s="2">
        <f>SUM(G17:J17)</f>
        <v>411214</v>
      </c>
      <c r="L17" s="3">
        <v>195645</v>
      </c>
      <c r="M17" s="3">
        <v>220226</v>
      </c>
      <c r="N17" s="3">
        <v>261404</v>
      </c>
      <c r="O17" s="3">
        <v>-339965</v>
      </c>
      <c r="P17" s="2">
        <f>SUM(L17:O17)</f>
        <v>337310</v>
      </c>
      <c r="Q17" s="3">
        <v>-71204</v>
      </c>
      <c r="R17" s="3">
        <v>26961</v>
      </c>
      <c r="S17" s="3">
        <v>168218</v>
      </c>
      <c r="T17" s="3">
        <v>-172747</v>
      </c>
      <c r="U17" s="2">
        <f>SUM(Q17:T17)</f>
        <v>-48772</v>
      </c>
    </row>
    <row r="18" spans="1:21">
      <c r="A18" s="8" t="s">
        <v>15</v>
      </c>
      <c r="B18" s="8"/>
      <c r="C18" s="8"/>
      <c r="D18" s="8"/>
      <c r="E18" s="23">
        <v>2062231</v>
      </c>
      <c r="F18" s="23">
        <v>3199349</v>
      </c>
      <c r="G18" s="24">
        <f>SUM(G14:G17)</f>
        <v>2034502</v>
      </c>
      <c r="H18" s="24">
        <f>SUM(H14:H17)</f>
        <v>1593789</v>
      </c>
      <c r="I18" s="24">
        <f>SUM(I14:I17)</f>
        <v>1660959</v>
      </c>
      <c r="J18" s="24">
        <f>SUM(J14:J17)</f>
        <v>550853</v>
      </c>
      <c r="K18" s="23">
        <f>SUM(G18:J18)</f>
        <v>5840103</v>
      </c>
      <c r="L18" s="24">
        <v>1979692</v>
      </c>
      <c r="M18" s="24">
        <f>SUM(M14:M17)</f>
        <v>1623054</v>
      </c>
      <c r="N18" s="24">
        <f>SUM(N14:N17)</f>
        <v>1621847</v>
      </c>
      <c r="O18" s="24">
        <f>SUM(O14:O17)</f>
        <v>39336</v>
      </c>
      <c r="P18" s="23">
        <f>SUM(P14:P17)</f>
        <v>5263929</v>
      </c>
      <c r="Q18" s="24">
        <v>1468874</v>
      </c>
      <c r="R18" s="24">
        <v>1679332</v>
      </c>
      <c r="S18" s="24">
        <v>1909049</v>
      </c>
      <c r="T18" s="24">
        <v>1148150</v>
      </c>
      <c r="U18" s="23">
        <f>SUM(U14:U17)</f>
        <v>6205405</v>
      </c>
    </row>
    <row r="19" spans="1:21">
      <c r="A19" s="8" t="s">
        <v>14</v>
      </c>
      <c r="B19" s="8"/>
      <c r="C19" s="8"/>
      <c r="D19" s="8"/>
      <c r="E19" s="2">
        <v>-195315</v>
      </c>
      <c r="F19" s="2">
        <v>-437954</v>
      </c>
      <c r="G19" s="22">
        <v>-327787</v>
      </c>
      <c r="H19" s="22">
        <v>-240776</v>
      </c>
      <c r="I19" s="22">
        <v>-211888</v>
      </c>
      <c r="J19" s="3">
        <v>56576</v>
      </c>
      <c r="K19" s="2">
        <f>SUM(G19:J19)</f>
        <v>-723875</v>
      </c>
      <c r="L19" s="22">
        <v>-382245</v>
      </c>
      <c r="M19" s="22">
        <v>-182103</v>
      </c>
      <c r="N19" s="3">
        <v>-223605</v>
      </c>
      <c r="O19" s="3">
        <v>15948</v>
      </c>
      <c r="P19" s="2">
        <f>SUM(L19:O19)</f>
        <v>-772005</v>
      </c>
      <c r="Q19" s="22">
        <v>-163754</v>
      </c>
      <c r="R19" s="22">
        <v>-191722</v>
      </c>
      <c r="S19" s="22">
        <v>-231627</v>
      </c>
      <c r="T19" s="3">
        <v>-210312</v>
      </c>
      <c r="U19" s="2">
        <f>SUM(Q19:T19)</f>
        <v>-797415</v>
      </c>
    </row>
    <row r="20" spans="1:21" ht="15" thickBot="1">
      <c r="A20" s="8" t="s">
        <v>13</v>
      </c>
      <c r="B20" s="8"/>
      <c r="C20" s="8"/>
      <c r="D20" s="8"/>
      <c r="E20" s="20">
        <v>1866916</v>
      </c>
      <c r="F20" s="20">
        <v>2761395</v>
      </c>
      <c r="G20" s="21">
        <f>G18+G19</f>
        <v>1706715</v>
      </c>
      <c r="H20" s="21">
        <f>H18+H19</f>
        <v>1353013</v>
      </c>
      <c r="I20" s="21">
        <f>I18+I19</f>
        <v>1449071</v>
      </c>
      <c r="J20" s="21">
        <f>J18+J19</f>
        <v>607429</v>
      </c>
      <c r="K20" s="20">
        <f>SUM(G20:J20)</f>
        <v>5116228</v>
      </c>
      <c r="L20" s="21">
        <v>1597447</v>
      </c>
      <c r="M20" s="21">
        <f>M18+M19</f>
        <v>1440951</v>
      </c>
      <c r="N20" s="21">
        <f>N18+N19</f>
        <v>1398242</v>
      </c>
      <c r="O20" s="21">
        <f>O18+O19</f>
        <v>55284</v>
      </c>
      <c r="P20" s="20">
        <f>P18+P19</f>
        <v>4491924</v>
      </c>
      <c r="Q20" s="21">
        <v>1305120</v>
      </c>
      <c r="R20" s="21">
        <v>1487610</v>
      </c>
      <c r="S20" s="21">
        <v>1677422</v>
      </c>
      <c r="T20" s="21">
        <v>937838</v>
      </c>
      <c r="U20" s="20">
        <f>U18+U19</f>
        <v>5407990</v>
      </c>
    </row>
    <row r="21" spans="1:21">
      <c r="A21" s="8" t="s">
        <v>12</v>
      </c>
      <c r="B21" s="8"/>
      <c r="C21" s="8"/>
      <c r="D21" s="8"/>
      <c r="E21" s="17"/>
      <c r="F21" s="17"/>
      <c r="G21" s="19"/>
      <c r="H21" s="19"/>
      <c r="I21" s="19"/>
      <c r="J21" s="19"/>
      <c r="K21" s="17"/>
      <c r="L21" s="19"/>
      <c r="M21" s="19"/>
      <c r="N21" s="19"/>
      <c r="O21" s="19"/>
      <c r="P21" s="17"/>
      <c r="Q21" s="19"/>
      <c r="R21" s="18"/>
      <c r="S21" s="18"/>
      <c r="T21" s="18"/>
      <c r="U21" s="17"/>
    </row>
    <row r="22" spans="1:21">
      <c r="A22" s="8"/>
      <c r="B22" s="8" t="s">
        <v>10</v>
      </c>
      <c r="C22" s="8"/>
      <c r="D22" s="8"/>
      <c r="E22" s="16">
        <v>4.26</v>
      </c>
      <c r="F22" s="16">
        <v>6.26</v>
      </c>
      <c r="G22" s="15">
        <v>3.85</v>
      </c>
      <c r="H22" s="15">
        <v>3.05</v>
      </c>
      <c r="I22" s="15">
        <v>3.27</v>
      </c>
      <c r="J22" s="15">
        <v>1.37</v>
      </c>
      <c r="K22" s="16">
        <v>11.55</v>
      </c>
      <c r="L22" s="15">
        <v>3.6</v>
      </c>
      <c r="M22" s="15">
        <v>3.24</v>
      </c>
      <c r="N22" s="15">
        <v>3.14</v>
      </c>
      <c r="O22" s="15">
        <v>0.12</v>
      </c>
      <c r="P22" s="14">
        <f>ROUND(P20/P25,2)</f>
        <v>10.1</v>
      </c>
      <c r="Q22" s="15">
        <v>2.93</v>
      </c>
      <c r="R22" s="15">
        <v>3.35</v>
      </c>
      <c r="S22" s="15">
        <v>3.8</v>
      </c>
      <c r="T22" s="15">
        <v>2.15</v>
      </c>
      <c r="U22" s="14">
        <f>ROUND(U20/U25,2)</f>
        <v>12.25</v>
      </c>
    </row>
    <row r="23" spans="1:21">
      <c r="A23" s="8"/>
      <c r="B23" s="8" t="s">
        <v>9</v>
      </c>
      <c r="C23" s="8"/>
      <c r="D23" s="8"/>
      <c r="E23" s="16">
        <v>4.13</v>
      </c>
      <c r="F23" s="16">
        <v>6.08</v>
      </c>
      <c r="G23" s="15">
        <v>3.75</v>
      </c>
      <c r="H23" s="15">
        <v>2.97</v>
      </c>
      <c r="I23" s="15">
        <v>3.19</v>
      </c>
      <c r="J23" s="15">
        <v>1.33</v>
      </c>
      <c r="K23" s="16">
        <v>11.24</v>
      </c>
      <c r="L23" s="15">
        <v>3.53</v>
      </c>
      <c r="M23" s="15">
        <v>3.2</v>
      </c>
      <c r="N23" s="15">
        <v>3.1</v>
      </c>
      <c r="O23" s="15">
        <v>0.12</v>
      </c>
      <c r="P23" s="14">
        <f>ROUND(P20/P26,2)</f>
        <v>9.9499999999999993</v>
      </c>
      <c r="Q23" s="15">
        <v>2.88</v>
      </c>
      <c r="R23" s="15">
        <v>3.29</v>
      </c>
      <c r="S23" s="15">
        <v>3.73</v>
      </c>
      <c r="T23" s="15">
        <v>2.11</v>
      </c>
      <c r="U23" s="14">
        <f>ROUND(U20/U26,2)</f>
        <v>12.03</v>
      </c>
    </row>
    <row r="24" spans="1:21">
      <c r="A24" s="8" t="s">
        <v>11</v>
      </c>
      <c r="B24" s="8"/>
      <c r="C24" s="8"/>
      <c r="D24" s="8"/>
      <c r="E24" s="12"/>
      <c r="F24" s="12"/>
      <c r="G24" s="7"/>
      <c r="H24" s="7"/>
      <c r="I24" s="7"/>
      <c r="J24" s="7"/>
      <c r="K24" s="12"/>
      <c r="L24" s="7"/>
      <c r="M24" s="7"/>
      <c r="N24" s="7"/>
      <c r="O24" s="7"/>
      <c r="P24" s="12"/>
      <c r="Q24" s="7"/>
      <c r="R24" s="13"/>
      <c r="S24" s="13"/>
      <c r="T24" s="13"/>
      <c r="U24" s="12"/>
    </row>
    <row r="25" spans="1:21">
      <c r="A25" s="8"/>
      <c r="B25" s="8" t="s">
        <v>10</v>
      </c>
      <c r="C25" s="8"/>
      <c r="D25" s="8"/>
      <c r="E25" s="11">
        <v>437799</v>
      </c>
      <c r="F25" s="11">
        <v>440922</v>
      </c>
      <c r="G25" s="7">
        <v>443224</v>
      </c>
      <c r="H25" s="7">
        <v>443159</v>
      </c>
      <c r="I25" s="7">
        <v>442778</v>
      </c>
      <c r="J25" s="7">
        <v>443462</v>
      </c>
      <c r="K25" s="11">
        <v>443155</v>
      </c>
      <c r="L25" s="7">
        <v>444146</v>
      </c>
      <c r="M25" s="7">
        <v>444557</v>
      </c>
      <c r="N25" s="7">
        <v>444878</v>
      </c>
      <c r="O25" s="7">
        <v>445200</v>
      </c>
      <c r="P25" s="11">
        <v>444698</v>
      </c>
      <c r="Q25" s="7">
        <v>445244</v>
      </c>
      <c r="R25" s="7">
        <v>443881</v>
      </c>
      <c r="S25" s="7">
        <v>441537</v>
      </c>
      <c r="T25" s="7">
        <v>435923</v>
      </c>
      <c r="U25" s="11">
        <v>441571</v>
      </c>
    </row>
    <row r="26" spans="1:21">
      <c r="A26" s="8"/>
      <c r="B26" s="8" t="s">
        <v>9</v>
      </c>
      <c r="C26" s="8"/>
      <c r="D26" s="8"/>
      <c r="E26" s="11">
        <v>451765</v>
      </c>
      <c r="F26" s="11">
        <v>454208</v>
      </c>
      <c r="G26" s="7">
        <v>455641</v>
      </c>
      <c r="H26" s="7">
        <v>455129</v>
      </c>
      <c r="I26" s="7">
        <v>454925</v>
      </c>
      <c r="J26" s="7">
        <v>455795</v>
      </c>
      <c r="K26" s="11">
        <v>455372</v>
      </c>
      <c r="L26" s="7">
        <v>452984</v>
      </c>
      <c r="M26" s="7">
        <v>450169</v>
      </c>
      <c r="N26" s="7">
        <v>450344</v>
      </c>
      <c r="O26" s="7">
        <v>451649</v>
      </c>
      <c r="P26" s="11">
        <v>451290</v>
      </c>
      <c r="Q26" s="7">
        <v>452417</v>
      </c>
      <c r="R26" s="7">
        <v>451572</v>
      </c>
      <c r="S26" s="7">
        <v>450011</v>
      </c>
      <c r="T26" s="7">
        <v>444292</v>
      </c>
      <c r="U26" s="11">
        <v>449498</v>
      </c>
    </row>
    <row r="27" spans="1:21">
      <c r="A27" s="8"/>
      <c r="B27" s="8"/>
      <c r="C27" s="8"/>
      <c r="D27" s="8"/>
      <c r="E27" s="8"/>
      <c r="F27" s="7"/>
    </row>
    <row r="28" spans="1:21">
      <c r="A28" s="10"/>
      <c r="B28" s="9"/>
      <c r="C28" s="8"/>
      <c r="D28" s="8"/>
      <c r="E28" s="8"/>
      <c r="F28" s="7"/>
    </row>
  </sheetData>
  <mergeCells count="3">
    <mergeCell ref="G5:J5"/>
    <mergeCell ref="L5:O5"/>
    <mergeCell ref="Q5:T5"/>
  </mergeCells>
  <pageMargins left="0.35" right="0.24" top="0.27" bottom="0.75" header="0.17" footer="0.3"/>
  <pageSetup scale="9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6DF2E-852C-7140-B318-3A0BC5111C09}">
  <sheetPr>
    <pageSetUpPr fitToPage="1"/>
  </sheetPr>
  <dimension ref="A1:X53"/>
  <sheetViews>
    <sheetView view="pageBreakPreview" zoomScale="150" zoomScaleNormal="110" zoomScaleSheetLayoutView="100" zoomScalePageLayoutView="150" workbookViewId="0">
      <pane xSplit="7" ySplit="7" topLeftCell="L24" activePane="bottomRight" state="frozen"/>
      <selection pane="topRight" activeCell="H1" sqref="H1"/>
      <selection pane="bottomLeft" activeCell="A8" sqref="A8"/>
      <selection pane="bottomRight" activeCell="G23" sqref="G23"/>
    </sheetView>
  </sheetViews>
  <sheetFormatPr baseColWidth="10" defaultColWidth="1.5" defaultRowHeight="14"/>
  <cols>
    <col min="1" max="5" width="1.5" style="6" customWidth="1"/>
    <col min="6" max="6" width="1.33203125" style="6" customWidth="1"/>
    <col min="7" max="7" width="54.1640625" style="6" customWidth="1"/>
    <col min="8" max="11" width="17.5" style="6" hidden="1" customWidth="1"/>
    <col min="12" max="13" width="17.5" style="6" customWidth="1"/>
    <col min="14" max="14" width="18.83203125" style="6" customWidth="1"/>
    <col min="15" max="18" width="17.5" style="6" hidden="1" customWidth="1"/>
    <col min="19" max="19" width="18.83203125" style="6" customWidth="1"/>
    <col min="20" max="23" width="18.83203125" style="6" hidden="1" customWidth="1"/>
    <col min="24" max="24" width="18.83203125" style="6" customWidth="1"/>
    <col min="25" max="217" width="9.1640625" style="6" customWidth="1"/>
    <col min="218" max="16384" width="1.5" style="6"/>
  </cols>
  <sheetData>
    <row r="1" spans="1:24" ht="16">
      <c r="A1" s="38" t="s">
        <v>34</v>
      </c>
      <c r="B1" s="42"/>
      <c r="C1" s="42"/>
      <c r="D1" s="42"/>
      <c r="E1" s="42"/>
      <c r="F1" s="42"/>
    </row>
    <row r="2" spans="1:24" ht="16">
      <c r="A2" s="38" t="s">
        <v>76</v>
      </c>
      <c r="B2" s="42"/>
      <c r="C2" s="42"/>
      <c r="D2" s="42"/>
      <c r="E2" s="42"/>
      <c r="F2" s="42"/>
    </row>
    <row r="3" spans="1:24">
      <c r="A3" s="57" t="s">
        <v>32</v>
      </c>
      <c r="B3" s="42"/>
      <c r="C3" s="42"/>
      <c r="D3" s="42"/>
      <c r="E3" s="42"/>
      <c r="F3" s="42"/>
    </row>
    <row r="4" spans="1:24">
      <c r="A4" s="57" t="s">
        <v>75</v>
      </c>
      <c r="B4" s="8"/>
      <c r="C4" s="8"/>
      <c r="D4" s="8"/>
      <c r="E4" s="8"/>
      <c r="F4" s="8"/>
    </row>
    <row r="5" spans="1:24" ht="12.75" customHeight="1">
      <c r="A5" s="57"/>
      <c r="B5" s="8"/>
      <c r="C5" s="8"/>
      <c r="D5" s="8"/>
      <c r="E5" s="8"/>
      <c r="F5" s="8"/>
      <c r="H5" s="125" t="s">
        <v>30</v>
      </c>
      <c r="I5" s="125"/>
      <c r="J5" s="125"/>
      <c r="K5" s="125"/>
      <c r="L5" s="65" t="s">
        <v>29</v>
      </c>
      <c r="M5" s="65" t="s">
        <v>29</v>
      </c>
      <c r="N5" s="65" t="s">
        <v>29</v>
      </c>
      <c r="O5" s="126" t="s">
        <v>30</v>
      </c>
      <c r="P5" s="126"/>
      <c r="Q5" s="126"/>
      <c r="R5" s="126"/>
      <c r="S5" s="65" t="s">
        <v>29</v>
      </c>
      <c r="T5" s="126" t="s">
        <v>30</v>
      </c>
      <c r="U5" s="126"/>
      <c r="V5" s="126"/>
      <c r="W5" s="126"/>
      <c r="X5" s="65" t="s">
        <v>29</v>
      </c>
    </row>
    <row r="6" spans="1:24">
      <c r="A6" s="47"/>
      <c r="B6" s="8"/>
      <c r="C6" s="8"/>
      <c r="D6" s="8"/>
      <c r="E6" s="8"/>
      <c r="F6" s="8"/>
      <c r="H6" s="35" t="s">
        <v>28</v>
      </c>
      <c r="I6" s="35" t="s">
        <v>27</v>
      </c>
      <c r="J6" s="35" t="s">
        <v>26</v>
      </c>
      <c r="K6" s="35" t="s">
        <v>25</v>
      </c>
      <c r="L6" s="34" t="s">
        <v>25</v>
      </c>
      <c r="M6" s="34" t="s">
        <v>25</v>
      </c>
      <c r="N6" s="34" t="s">
        <v>25</v>
      </c>
      <c r="O6" s="35" t="s">
        <v>28</v>
      </c>
      <c r="P6" s="35" t="s">
        <v>27</v>
      </c>
      <c r="Q6" s="35" t="s">
        <v>26</v>
      </c>
      <c r="R6" s="35" t="s">
        <v>25</v>
      </c>
      <c r="S6" s="34" t="s">
        <v>25</v>
      </c>
      <c r="T6" s="35" t="s">
        <v>28</v>
      </c>
      <c r="U6" s="35" t="s">
        <v>27</v>
      </c>
      <c r="V6" s="35" t="s">
        <v>26</v>
      </c>
      <c r="W6" s="35" t="s">
        <v>25</v>
      </c>
      <c r="X6" s="34" t="s">
        <v>25</v>
      </c>
    </row>
    <row r="7" spans="1:24">
      <c r="A7" s="47"/>
      <c r="B7" s="8"/>
      <c r="C7" s="8"/>
      <c r="D7" s="8"/>
      <c r="E7" s="8"/>
      <c r="F7" s="8"/>
      <c r="H7" s="33">
        <v>2021</v>
      </c>
      <c r="I7" s="33">
        <v>2021</v>
      </c>
      <c r="J7" s="33">
        <v>2021</v>
      </c>
      <c r="K7" s="33">
        <v>2021</v>
      </c>
      <c r="L7" s="64">
        <v>2019</v>
      </c>
      <c r="M7" s="64">
        <v>2020</v>
      </c>
      <c r="N7" s="64">
        <v>2021</v>
      </c>
      <c r="O7" s="33">
        <v>2022</v>
      </c>
      <c r="P7" s="33">
        <v>2022</v>
      </c>
      <c r="Q7" s="33">
        <v>2022</v>
      </c>
      <c r="R7" s="33">
        <v>2022</v>
      </c>
      <c r="S7" s="64">
        <v>2022</v>
      </c>
      <c r="T7" s="33">
        <v>2023</v>
      </c>
      <c r="U7" s="33">
        <v>2023</v>
      </c>
      <c r="V7" s="33">
        <v>2023</v>
      </c>
      <c r="W7" s="33">
        <v>2023</v>
      </c>
      <c r="X7" s="64">
        <v>2023</v>
      </c>
    </row>
    <row r="8" spans="1:24">
      <c r="A8" s="63" t="s">
        <v>74</v>
      </c>
      <c r="B8" s="41"/>
      <c r="C8" s="41"/>
      <c r="D8" s="41"/>
      <c r="E8" s="46"/>
      <c r="F8" s="46"/>
      <c r="L8" s="12"/>
      <c r="M8" s="12"/>
      <c r="N8" s="12"/>
      <c r="S8" s="12"/>
      <c r="X8" s="12"/>
    </row>
    <row r="9" spans="1:24">
      <c r="A9" s="58"/>
      <c r="B9" s="46" t="s">
        <v>13</v>
      </c>
      <c r="C9" s="46"/>
      <c r="D9" s="46"/>
      <c r="E9" s="46"/>
      <c r="F9" s="46"/>
      <c r="H9" s="49">
        <v>1706715</v>
      </c>
      <c r="I9" s="49">
        <v>1353013</v>
      </c>
      <c r="J9" s="49">
        <v>1449071</v>
      </c>
      <c r="K9" s="49">
        <v>607429</v>
      </c>
      <c r="L9" s="48">
        <v>1866916</v>
      </c>
      <c r="M9" s="48">
        <v>2761395</v>
      </c>
      <c r="N9" s="48">
        <f>SUM(H9:K9)</f>
        <v>5116228</v>
      </c>
      <c r="O9" s="49">
        <v>1597447</v>
      </c>
      <c r="P9" s="49">
        <v>1440951</v>
      </c>
      <c r="Q9" s="49">
        <v>1398242</v>
      </c>
      <c r="R9" s="49">
        <v>55284</v>
      </c>
      <c r="S9" s="48">
        <f>SUM(O9:R9)</f>
        <v>4491924</v>
      </c>
      <c r="T9" s="49">
        <v>1305120</v>
      </c>
      <c r="U9" s="49">
        <v>1487610</v>
      </c>
      <c r="V9" s="49">
        <v>1677422</v>
      </c>
      <c r="W9" s="49">
        <v>937838</v>
      </c>
      <c r="X9" s="48">
        <f>SUM(T9:W9)</f>
        <v>5407990</v>
      </c>
    </row>
    <row r="10" spans="1:24">
      <c r="A10" s="47"/>
      <c r="B10" s="46" t="s">
        <v>73</v>
      </c>
      <c r="C10" s="46"/>
      <c r="D10" s="46"/>
      <c r="E10" s="46"/>
      <c r="F10" s="46"/>
      <c r="H10" s="45"/>
      <c r="I10" s="45"/>
      <c r="J10" s="45"/>
      <c r="K10" s="45"/>
      <c r="L10" s="44"/>
      <c r="M10" s="44"/>
      <c r="N10" s="44"/>
      <c r="O10" s="45"/>
      <c r="P10" s="45"/>
      <c r="Q10" s="45"/>
      <c r="R10" s="45"/>
      <c r="S10" s="44"/>
      <c r="T10" s="45"/>
      <c r="U10" s="45"/>
      <c r="V10" s="45"/>
      <c r="W10" s="45"/>
      <c r="X10" s="44"/>
    </row>
    <row r="11" spans="1:24">
      <c r="A11" s="47"/>
      <c r="B11" s="46"/>
      <c r="C11" s="46" t="s">
        <v>72</v>
      </c>
      <c r="D11" s="46"/>
      <c r="E11" s="46"/>
      <c r="F11" s="46"/>
      <c r="H11" s="45"/>
      <c r="I11" s="45"/>
      <c r="J11" s="45"/>
      <c r="K11" s="45"/>
      <c r="L11" s="44"/>
      <c r="M11" s="44"/>
      <c r="N11" s="44"/>
      <c r="O11" s="45"/>
      <c r="P11" s="45"/>
      <c r="Q11" s="45"/>
      <c r="R11" s="45"/>
      <c r="S11" s="44"/>
      <c r="T11" s="45"/>
      <c r="U11" s="45"/>
      <c r="V11" s="45"/>
      <c r="W11" s="45"/>
      <c r="X11" s="44"/>
    </row>
    <row r="12" spans="1:24">
      <c r="A12" s="47"/>
      <c r="B12" s="46"/>
      <c r="C12" s="46"/>
      <c r="D12" s="46" t="s">
        <v>71</v>
      </c>
      <c r="E12" s="46"/>
      <c r="F12" s="46"/>
      <c r="H12" s="45">
        <v>-3284576</v>
      </c>
      <c r="I12" s="45">
        <v>-4096750</v>
      </c>
      <c r="J12" s="45">
        <v>-4666237</v>
      </c>
      <c r="K12" s="45">
        <v>-5654639</v>
      </c>
      <c r="L12" s="44">
        <v>-13916683</v>
      </c>
      <c r="M12" s="44">
        <v>-11779284</v>
      </c>
      <c r="N12" s="44">
        <f t="shared" ref="N12:N19" si="0">SUM(H12:K12)</f>
        <v>-17702202</v>
      </c>
      <c r="O12" s="45">
        <v>-3584164</v>
      </c>
      <c r="P12" s="45">
        <v>-4687011</v>
      </c>
      <c r="Q12" s="45">
        <v>-4582671</v>
      </c>
      <c r="R12" s="45">
        <v>-3985192</v>
      </c>
      <c r="S12" s="44">
        <f t="shared" ref="S12:S19" si="1">SUM(O12:R12)</f>
        <v>-16839038</v>
      </c>
      <c r="T12" s="45">
        <v>-2458666</v>
      </c>
      <c r="U12" s="45">
        <v>-3683007</v>
      </c>
      <c r="V12" s="45">
        <v>-2883839</v>
      </c>
      <c r="W12" s="45">
        <v>-3529191</v>
      </c>
      <c r="X12" s="44">
        <f t="shared" ref="X12:X19" si="2">SUM(T12:W12)</f>
        <v>-12554703</v>
      </c>
    </row>
    <row r="13" spans="1:24">
      <c r="A13" s="47"/>
      <c r="B13" s="46"/>
      <c r="C13" s="46"/>
      <c r="D13" s="46" t="s">
        <v>70</v>
      </c>
      <c r="E13" s="46"/>
      <c r="F13" s="46"/>
      <c r="H13" s="45">
        <v>-266040</v>
      </c>
      <c r="I13" s="45">
        <v>-312208</v>
      </c>
      <c r="J13" s="45">
        <v>-29246</v>
      </c>
      <c r="K13" s="45">
        <v>840392</v>
      </c>
      <c r="L13" s="44">
        <v>-694011</v>
      </c>
      <c r="M13" s="44">
        <v>-757433</v>
      </c>
      <c r="N13" s="44">
        <f t="shared" si="0"/>
        <v>232898</v>
      </c>
      <c r="O13" s="45">
        <v>-347149</v>
      </c>
      <c r="P13" s="45">
        <v>191228</v>
      </c>
      <c r="Q13" s="45">
        <v>60867</v>
      </c>
      <c r="R13" s="45">
        <v>274364</v>
      </c>
      <c r="S13" s="44">
        <f t="shared" si="1"/>
        <v>179310</v>
      </c>
      <c r="T13" s="45">
        <v>-354791</v>
      </c>
      <c r="U13" s="45">
        <v>46119</v>
      </c>
      <c r="V13" s="45">
        <v>-325989</v>
      </c>
      <c r="W13" s="45">
        <v>49059</v>
      </c>
      <c r="X13" s="44">
        <f t="shared" si="2"/>
        <v>-585602</v>
      </c>
    </row>
    <row r="14" spans="1:24">
      <c r="A14" s="47"/>
      <c r="B14" s="46"/>
      <c r="C14" s="46"/>
      <c r="D14" s="46" t="s">
        <v>69</v>
      </c>
      <c r="E14" s="46"/>
      <c r="F14" s="46"/>
      <c r="H14" s="45">
        <v>2719196</v>
      </c>
      <c r="I14" s="45">
        <v>2806803</v>
      </c>
      <c r="J14" s="45">
        <v>2963051</v>
      </c>
      <c r="K14" s="45">
        <v>3741317</v>
      </c>
      <c r="L14" s="44">
        <v>9216247</v>
      </c>
      <c r="M14" s="44">
        <v>10806912</v>
      </c>
      <c r="N14" s="44">
        <f t="shared" si="0"/>
        <v>12230367</v>
      </c>
      <c r="O14" s="45">
        <v>3166365</v>
      </c>
      <c r="P14" s="45">
        <v>3261348</v>
      </c>
      <c r="Q14" s="45">
        <v>3653592</v>
      </c>
      <c r="R14" s="45">
        <v>3944827</v>
      </c>
      <c r="S14" s="44">
        <f t="shared" si="1"/>
        <v>14026132</v>
      </c>
      <c r="T14" s="45">
        <v>3459984</v>
      </c>
      <c r="U14" s="45">
        <v>3410021</v>
      </c>
      <c r="V14" s="45">
        <v>3573353</v>
      </c>
      <c r="W14" s="45">
        <v>3754079</v>
      </c>
      <c r="X14" s="44">
        <f t="shared" si="2"/>
        <v>14197437</v>
      </c>
    </row>
    <row r="15" spans="1:24">
      <c r="A15" s="47"/>
      <c r="B15" s="46"/>
      <c r="C15" s="46"/>
      <c r="D15" s="46" t="s">
        <v>68</v>
      </c>
      <c r="E15" s="46"/>
      <c r="F15" s="46"/>
      <c r="H15" s="45">
        <v>35741</v>
      </c>
      <c r="I15" s="45">
        <v>38434</v>
      </c>
      <c r="J15" s="45">
        <v>70253</v>
      </c>
      <c r="K15" s="45">
        <v>63984</v>
      </c>
      <c r="L15" s="44">
        <v>103579</v>
      </c>
      <c r="M15" s="44">
        <v>115710</v>
      </c>
      <c r="N15" s="44">
        <f t="shared" si="0"/>
        <v>208412</v>
      </c>
      <c r="O15" s="45">
        <v>74602</v>
      </c>
      <c r="P15" s="45">
        <v>83505</v>
      </c>
      <c r="Q15" s="45">
        <v>85188</v>
      </c>
      <c r="R15" s="45">
        <v>93387</v>
      </c>
      <c r="S15" s="44">
        <f t="shared" si="1"/>
        <v>336682</v>
      </c>
      <c r="T15" s="45">
        <v>90335</v>
      </c>
      <c r="U15" s="45">
        <v>89385</v>
      </c>
      <c r="V15" s="45">
        <v>90660</v>
      </c>
      <c r="W15" s="45">
        <v>86567</v>
      </c>
      <c r="X15" s="44">
        <f t="shared" si="2"/>
        <v>356947</v>
      </c>
    </row>
    <row r="16" spans="1:24">
      <c r="A16" s="57"/>
      <c r="B16" s="46"/>
      <c r="C16" s="46"/>
      <c r="D16" s="46" t="s">
        <v>67</v>
      </c>
      <c r="E16" s="46"/>
      <c r="F16" s="46"/>
      <c r="H16" s="45">
        <v>107230</v>
      </c>
      <c r="I16" s="45">
        <v>101583</v>
      </c>
      <c r="J16" s="45">
        <v>95078</v>
      </c>
      <c r="K16" s="45">
        <v>99329</v>
      </c>
      <c r="L16" s="44">
        <v>405376</v>
      </c>
      <c r="M16" s="44">
        <v>415180</v>
      </c>
      <c r="N16" s="44">
        <f t="shared" si="0"/>
        <v>403220</v>
      </c>
      <c r="O16" s="45">
        <v>119209</v>
      </c>
      <c r="P16" s="45">
        <v>150392</v>
      </c>
      <c r="Q16" s="45">
        <v>152062</v>
      </c>
      <c r="R16" s="45">
        <v>153789</v>
      </c>
      <c r="S16" s="44">
        <f t="shared" si="1"/>
        <v>575452</v>
      </c>
      <c r="T16" s="45">
        <v>99099</v>
      </c>
      <c r="U16" s="45">
        <v>78030</v>
      </c>
      <c r="V16" s="45">
        <v>79720</v>
      </c>
      <c r="W16" s="45">
        <v>82519</v>
      </c>
      <c r="X16" s="44">
        <f t="shared" si="2"/>
        <v>339368</v>
      </c>
    </row>
    <row r="17" spans="1:24">
      <c r="A17" s="58"/>
      <c r="B17" s="46"/>
      <c r="C17" s="46"/>
      <c r="D17" s="46" t="s">
        <v>66</v>
      </c>
      <c r="E17" s="46"/>
      <c r="F17" s="46"/>
      <c r="H17" s="45">
        <v>-253330</v>
      </c>
      <c r="I17" s="45">
        <v>63074</v>
      </c>
      <c r="J17" s="45">
        <v>-136488</v>
      </c>
      <c r="K17" s="45">
        <v>-103917</v>
      </c>
      <c r="L17" s="44">
        <v>-45576</v>
      </c>
      <c r="M17" s="44">
        <v>533278</v>
      </c>
      <c r="N17" s="44">
        <f t="shared" si="0"/>
        <v>-430661</v>
      </c>
      <c r="O17" s="45">
        <v>-161821</v>
      </c>
      <c r="P17" s="45">
        <v>-304513</v>
      </c>
      <c r="Q17" s="45">
        <v>-348458</v>
      </c>
      <c r="R17" s="45">
        <v>461681</v>
      </c>
      <c r="S17" s="44">
        <f t="shared" si="1"/>
        <v>-353111</v>
      </c>
      <c r="T17" s="45">
        <v>80651</v>
      </c>
      <c r="U17" s="45">
        <v>28952</v>
      </c>
      <c r="V17" s="45">
        <v>-172678</v>
      </c>
      <c r="W17" s="45">
        <v>239371</v>
      </c>
      <c r="X17" s="44">
        <f t="shared" si="2"/>
        <v>176296</v>
      </c>
    </row>
    <row r="18" spans="1:24">
      <c r="A18" s="58"/>
      <c r="B18" s="46"/>
      <c r="C18" s="46"/>
      <c r="D18" s="46" t="s">
        <v>65</v>
      </c>
      <c r="E18" s="46"/>
      <c r="F18" s="46"/>
      <c r="H18" s="45">
        <v>72657</v>
      </c>
      <c r="I18" s="45">
        <v>108103</v>
      </c>
      <c r="J18" s="45">
        <v>102211</v>
      </c>
      <c r="K18" s="45">
        <v>93806</v>
      </c>
      <c r="L18" s="44">
        <v>228230</v>
      </c>
      <c r="M18" s="44">
        <v>293126</v>
      </c>
      <c r="N18" s="44">
        <f t="shared" si="0"/>
        <v>376777</v>
      </c>
      <c r="O18" s="45">
        <v>101968</v>
      </c>
      <c r="P18" s="45">
        <v>205374</v>
      </c>
      <c r="Q18" s="45">
        <v>102513</v>
      </c>
      <c r="R18" s="45">
        <v>123688</v>
      </c>
      <c r="S18" s="44">
        <f t="shared" si="1"/>
        <v>533543</v>
      </c>
      <c r="T18" s="45">
        <v>120008</v>
      </c>
      <c r="U18" s="45">
        <v>121483</v>
      </c>
      <c r="V18" s="45">
        <v>115688</v>
      </c>
      <c r="W18" s="45">
        <v>154896</v>
      </c>
      <c r="X18" s="44">
        <f t="shared" si="2"/>
        <v>512075</v>
      </c>
    </row>
    <row r="19" spans="1:24">
      <c r="A19" s="58"/>
      <c r="B19" s="46"/>
      <c r="C19" s="46"/>
      <c r="D19" s="46" t="s">
        <v>64</v>
      </c>
      <c r="E19" s="46"/>
      <c r="F19" s="46"/>
      <c r="H19" s="45">
        <v>159733</v>
      </c>
      <c r="I19" s="45">
        <v>51127</v>
      </c>
      <c r="J19" s="45">
        <v>50967</v>
      </c>
      <c r="K19" s="45">
        <v>-62279</v>
      </c>
      <c r="L19" s="44">
        <v>-94443</v>
      </c>
      <c r="M19" s="44">
        <v>70066</v>
      </c>
      <c r="N19" s="44">
        <f t="shared" si="0"/>
        <v>199548</v>
      </c>
      <c r="O19" s="45">
        <v>-68906</v>
      </c>
      <c r="P19" s="45">
        <v>-115820</v>
      </c>
      <c r="Q19" s="45">
        <v>-57797</v>
      </c>
      <c r="R19" s="45">
        <v>75973</v>
      </c>
      <c r="S19" s="44">
        <f t="shared" si="1"/>
        <v>-166550</v>
      </c>
      <c r="T19" s="45">
        <v>-98782</v>
      </c>
      <c r="U19" s="45">
        <v>-103172</v>
      </c>
      <c r="V19" s="45">
        <v>-86277</v>
      </c>
      <c r="W19" s="45">
        <v>-171128</v>
      </c>
      <c r="X19" s="44">
        <f t="shared" si="2"/>
        <v>-459359</v>
      </c>
    </row>
    <row r="20" spans="1:24">
      <c r="A20" s="57"/>
      <c r="B20" s="46"/>
      <c r="C20" s="46"/>
      <c r="D20" s="46" t="s">
        <v>63</v>
      </c>
      <c r="E20" s="46"/>
      <c r="F20" s="46"/>
      <c r="H20" s="45"/>
      <c r="I20" s="45"/>
      <c r="J20" s="45"/>
      <c r="K20" s="45"/>
      <c r="L20" s="44"/>
      <c r="M20" s="44"/>
      <c r="N20" s="44"/>
      <c r="O20" s="45"/>
      <c r="P20" s="45"/>
      <c r="Q20" s="45"/>
      <c r="R20" s="45"/>
      <c r="S20" s="44"/>
      <c r="T20" s="45"/>
      <c r="U20" s="45"/>
      <c r="V20" s="45"/>
      <c r="W20" s="45"/>
      <c r="X20" s="44"/>
    </row>
    <row r="21" spans="1:24">
      <c r="A21" s="47"/>
      <c r="B21" s="46"/>
      <c r="C21" s="46"/>
      <c r="D21" s="46"/>
      <c r="E21" s="46" t="s">
        <v>62</v>
      </c>
      <c r="F21" s="46"/>
      <c r="H21" s="45">
        <v>-221555</v>
      </c>
      <c r="I21" s="45">
        <v>-52373</v>
      </c>
      <c r="J21" s="45">
        <v>-95145</v>
      </c>
      <c r="K21" s="45">
        <v>-608</v>
      </c>
      <c r="L21" s="44">
        <v>-252113</v>
      </c>
      <c r="M21" s="44">
        <v>-187623</v>
      </c>
      <c r="N21" s="44">
        <f>SUM(H21:K21)</f>
        <v>-369681</v>
      </c>
      <c r="O21" s="45">
        <v>41157</v>
      </c>
      <c r="P21" s="45">
        <v>123399</v>
      </c>
      <c r="Q21" s="45">
        <v>-120071</v>
      </c>
      <c r="R21" s="45">
        <v>-398319</v>
      </c>
      <c r="S21" s="44">
        <f>SUM(O21:R21)</f>
        <v>-353834</v>
      </c>
      <c r="T21" s="45">
        <v>-88522</v>
      </c>
      <c r="U21" s="45">
        <v>-183049</v>
      </c>
      <c r="V21" s="45">
        <v>103766</v>
      </c>
      <c r="W21" s="45">
        <v>-13198</v>
      </c>
      <c r="X21" s="44">
        <f>SUM(T21:W21)</f>
        <v>-181003</v>
      </c>
    </row>
    <row r="22" spans="1:24">
      <c r="A22" s="57"/>
      <c r="B22" s="46"/>
      <c r="C22" s="46"/>
      <c r="D22" s="46"/>
      <c r="E22" s="46" t="s">
        <v>61</v>
      </c>
      <c r="F22" s="46"/>
      <c r="H22" s="45">
        <v>-137313</v>
      </c>
      <c r="I22" s="45">
        <v>72313</v>
      </c>
      <c r="J22" s="45">
        <v>24836</v>
      </c>
      <c r="K22" s="45">
        <v>185279</v>
      </c>
      <c r="L22" s="44">
        <v>96063</v>
      </c>
      <c r="M22" s="44">
        <v>-41605</v>
      </c>
      <c r="N22" s="44">
        <f>SUM(H22:K22)</f>
        <v>145115</v>
      </c>
      <c r="O22" s="45">
        <v>-215444</v>
      </c>
      <c r="P22" s="45">
        <v>-122048</v>
      </c>
      <c r="Q22" s="45">
        <v>53875</v>
      </c>
      <c r="R22" s="45">
        <v>125074</v>
      </c>
      <c r="S22" s="44">
        <f>SUM(O22:R22)</f>
        <v>-158543</v>
      </c>
      <c r="T22" s="45">
        <v>-89668</v>
      </c>
      <c r="U22" s="45">
        <v>38332</v>
      </c>
      <c r="V22" s="45">
        <v>-68390</v>
      </c>
      <c r="W22" s="45">
        <v>213228</v>
      </c>
      <c r="X22" s="44">
        <f>SUM(T22:W22)</f>
        <v>93502</v>
      </c>
    </row>
    <row r="23" spans="1:24">
      <c r="A23" s="57"/>
      <c r="B23" s="46"/>
      <c r="C23" s="46"/>
      <c r="D23" s="46"/>
      <c r="E23" s="46" t="s">
        <v>60</v>
      </c>
      <c r="F23" s="46"/>
      <c r="H23" s="45">
        <v>177897</v>
      </c>
      <c r="I23" s="45">
        <v>-171430</v>
      </c>
      <c r="J23" s="45">
        <v>269774</v>
      </c>
      <c r="K23" s="45">
        <v>-95903</v>
      </c>
      <c r="L23" s="44">
        <v>157778</v>
      </c>
      <c r="M23" s="44">
        <v>198183</v>
      </c>
      <c r="N23" s="44">
        <f>SUM(H23:K23)</f>
        <v>180338</v>
      </c>
      <c r="O23" s="45">
        <v>350763</v>
      </c>
      <c r="P23" s="45">
        <v>-238719</v>
      </c>
      <c r="Q23" s="45">
        <v>212072</v>
      </c>
      <c r="R23" s="45">
        <v>-379629</v>
      </c>
      <c r="S23" s="44">
        <f>SUM(O23:R23)</f>
        <v>-55513</v>
      </c>
      <c r="T23" s="45">
        <v>185299</v>
      </c>
      <c r="U23" s="45">
        <v>177831</v>
      </c>
      <c r="V23" s="45">
        <v>-65029</v>
      </c>
      <c r="W23" s="45">
        <v>-194536</v>
      </c>
      <c r="X23" s="44">
        <f>SUM(T23:W23)</f>
        <v>103565</v>
      </c>
    </row>
    <row r="24" spans="1:24">
      <c r="A24" s="47"/>
      <c r="B24" s="46"/>
      <c r="C24" s="46"/>
      <c r="D24" s="46"/>
      <c r="E24" s="46" t="s">
        <v>59</v>
      </c>
      <c r="F24" s="46"/>
      <c r="H24" s="45">
        <v>22279</v>
      </c>
      <c r="I24" s="45">
        <v>47093</v>
      </c>
      <c r="J24" s="45">
        <v>-4732</v>
      </c>
      <c r="K24" s="45">
        <v>26710</v>
      </c>
      <c r="L24" s="44">
        <v>163846</v>
      </c>
      <c r="M24" s="44">
        <v>193247</v>
      </c>
      <c r="N24" s="44">
        <f>SUM(H24:K24)</f>
        <v>91350</v>
      </c>
      <c r="O24" s="45">
        <v>16743</v>
      </c>
      <c r="P24" s="45">
        <v>-10376</v>
      </c>
      <c r="Q24" s="45">
        <v>-48420</v>
      </c>
      <c r="R24" s="45">
        <v>69409</v>
      </c>
      <c r="S24" s="44">
        <f>SUM(O24:R24)</f>
        <v>27356</v>
      </c>
      <c r="T24" s="45">
        <v>-2390</v>
      </c>
      <c r="U24" s="45">
        <v>49647</v>
      </c>
      <c r="V24" s="45">
        <v>-5733</v>
      </c>
      <c r="W24" s="45">
        <v>137184</v>
      </c>
      <c r="X24" s="44">
        <f>SUM(T24:W24)</f>
        <v>178708</v>
      </c>
    </row>
    <row r="25" spans="1:24">
      <c r="A25" s="57"/>
      <c r="B25" s="46"/>
      <c r="C25" s="46"/>
      <c r="D25" s="46"/>
      <c r="E25" s="46" t="s">
        <v>58</v>
      </c>
      <c r="F25" s="46"/>
      <c r="H25" s="62">
        <v>-61368</v>
      </c>
      <c r="I25" s="62">
        <v>-72543</v>
      </c>
      <c r="J25" s="62">
        <v>-11014</v>
      </c>
      <c r="K25" s="57">
        <v>-144174</v>
      </c>
      <c r="L25" s="44">
        <v>-122531</v>
      </c>
      <c r="M25" s="44">
        <v>-194075</v>
      </c>
      <c r="N25" s="44">
        <f>SUM(H25:K25)</f>
        <v>-289099</v>
      </c>
      <c r="O25" s="62">
        <v>-167931</v>
      </c>
      <c r="P25" s="62">
        <v>125040</v>
      </c>
      <c r="Q25" s="57">
        <v>-4184</v>
      </c>
      <c r="R25" s="57">
        <v>-170478</v>
      </c>
      <c r="S25" s="44">
        <f>SUM(O25:R25)</f>
        <v>-217553</v>
      </c>
      <c r="T25" s="62">
        <v>-68937</v>
      </c>
      <c r="U25" s="62">
        <v>-117950</v>
      </c>
      <c r="V25" s="62">
        <v>-40359</v>
      </c>
      <c r="W25" s="57">
        <v>-83674</v>
      </c>
      <c r="X25" s="44">
        <f>SUM(T25:W25)</f>
        <v>-310920</v>
      </c>
    </row>
    <row r="26" spans="1:24">
      <c r="A26" s="58"/>
      <c r="B26" s="46"/>
      <c r="C26" s="46"/>
      <c r="D26" s="46"/>
      <c r="E26" s="46"/>
      <c r="F26" s="46"/>
      <c r="G26" s="46" t="s">
        <v>38</v>
      </c>
      <c r="H26" s="60">
        <f>SUM(H9:H25)</f>
        <v>777266</v>
      </c>
      <c r="I26" s="60">
        <f>SUM(I9:I25)</f>
        <v>-63761</v>
      </c>
      <c r="J26" s="60">
        <f>SUM(J9:J25)</f>
        <v>82379</v>
      </c>
      <c r="K26" s="60">
        <f>SUM(K9:K25)</f>
        <v>-403274</v>
      </c>
      <c r="L26" s="59">
        <v>-2887322</v>
      </c>
      <c r="M26" s="59">
        <v>2427077</v>
      </c>
      <c r="N26" s="59">
        <f>SUM(N9:N25)</f>
        <v>392610</v>
      </c>
      <c r="O26" s="60">
        <v>922839</v>
      </c>
      <c r="P26" s="60">
        <f t="shared" ref="P26:X26" si="3">SUM(P9:P25)</f>
        <v>102750</v>
      </c>
      <c r="Q26" s="60">
        <f t="shared" si="3"/>
        <v>556810</v>
      </c>
      <c r="R26" s="60">
        <f t="shared" si="3"/>
        <v>443858</v>
      </c>
      <c r="S26" s="59">
        <f t="shared" si="3"/>
        <v>2026257</v>
      </c>
      <c r="T26" s="60">
        <f t="shared" si="3"/>
        <v>2178740</v>
      </c>
      <c r="U26" s="60">
        <f t="shared" si="3"/>
        <v>1440232</v>
      </c>
      <c r="V26" s="60">
        <f t="shared" si="3"/>
        <v>1992315</v>
      </c>
      <c r="W26" s="60">
        <f t="shared" si="3"/>
        <v>1663014</v>
      </c>
      <c r="X26" s="59">
        <f t="shared" si="3"/>
        <v>7274301</v>
      </c>
    </row>
    <row r="27" spans="1:24">
      <c r="A27" s="61" t="s">
        <v>57</v>
      </c>
      <c r="B27" s="41"/>
      <c r="C27" s="46"/>
      <c r="D27" s="46"/>
      <c r="E27" s="46"/>
      <c r="F27" s="46"/>
      <c r="L27" s="44"/>
      <c r="M27" s="44"/>
      <c r="N27" s="44"/>
      <c r="S27" s="44"/>
      <c r="X27" s="44"/>
    </row>
    <row r="28" spans="1:24">
      <c r="A28" s="47"/>
      <c r="B28" s="46" t="s">
        <v>37</v>
      </c>
      <c r="C28" s="46"/>
      <c r="D28" s="46"/>
      <c r="E28" s="46"/>
      <c r="F28" s="46"/>
      <c r="H28" s="45">
        <v>-81001</v>
      </c>
      <c r="I28" s="45">
        <v>-110278</v>
      </c>
      <c r="J28" s="45">
        <v>-167327</v>
      </c>
      <c r="K28" s="45">
        <v>-165979</v>
      </c>
      <c r="L28" s="44">
        <v>-253035</v>
      </c>
      <c r="M28" s="44">
        <v>-497923</v>
      </c>
      <c r="N28" s="44">
        <f>SUM(H28:K28)</f>
        <v>-524585</v>
      </c>
      <c r="O28" s="45">
        <v>-121158</v>
      </c>
      <c r="P28" s="45">
        <v>-90018</v>
      </c>
      <c r="Q28" s="45">
        <v>-84960</v>
      </c>
      <c r="R28" s="45">
        <v>-111593</v>
      </c>
      <c r="S28" s="44">
        <f>SUM(O28:R28)</f>
        <v>-407729</v>
      </c>
      <c r="T28" s="45">
        <v>-62019</v>
      </c>
      <c r="U28" s="45">
        <v>-100972</v>
      </c>
      <c r="V28" s="45">
        <v>-103929</v>
      </c>
      <c r="W28" s="45">
        <v>-81632</v>
      </c>
      <c r="X28" s="44">
        <f>SUM(T28:W28)</f>
        <v>-348552</v>
      </c>
    </row>
    <row r="29" spans="1:24">
      <c r="A29" s="47"/>
      <c r="B29" s="46" t="s">
        <v>36</v>
      </c>
      <c r="C29" s="46"/>
      <c r="D29" s="46"/>
      <c r="E29" s="46"/>
      <c r="F29" s="46"/>
      <c r="H29" s="45">
        <v>-4615</v>
      </c>
      <c r="I29" s="45">
        <v>-1000</v>
      </c>
      <c r="J29" s="45">
        <v>-21304</v>
      </c>
      <c r="K29" s="45">
        <v>0</v>
      </c>
      <c r="L29" s="44">
        <v>-134029</v>
      </c>
      <c r="M29" s="44">
        <v>-7431</v>
      </c>
      <c r="N29" s="44">
        <f>SUM(H29:K29)</f>
        <v>-26919</v>
      </c>
      <c r="O29" s="45">
        <v>0</v>
      </c>
      <c r="P29" s="45">
        <v>0</v>
      </c>
      <c r="Q29" s="45">
        <v>0</v>
      </c>
      <c r="R29" s="45">
        <v>0</v>
      </c>
      <c r="S29" s="44">
        <f>SUM(O29:R29)</f>
        <v>0</v>
      </c>
      <c r="T29" s="45">
        <v>0</v>
      </c>
      <c r="U29" s="45">
        <v>0</v>
      </c>
      <c r="V29" s="45">
        <v>0</v>
      </c>
      <c r="W29" s="45">
        <v>0</v>
      </c>
      <c r="X29" s="44">
        <f>SUM(T29:W29)</f>
        <v>0</v>
      </c>
    </row>
    <row r="30" spans="1:24">
      <c r="A30" s="47"/>
      <c r="B30" s="46" t="s">
        <v>56</v>
      </c>
      <c r="C30" s="46"/>
      <c r="D30" s="46"/>
      <c r="E30" s="46"/>
      <c r="F30" s="46"/>
      <c r="H30" s="45">
        <v>0</v>
      </c>
      <c r="I30" s="45">
        <v>0</v>
      </c>
      <c r="J30" s="45">
        <v>0</v>
      </c>
      <c r="K30" s="45">
        <v>-788349</v>
      </c>
      <c r="L30" s="44">
        <v>0</v>
      </c>
      <c r="M30" s="44">
        <v>0</v>
      </c>
      <c r="N30" s="44">
        <f>SUM(H30:K30)</f>
        <v>-788349</v>
      </c>
      <c r="O30" s="45">
        <v>-124521</v>
      </c>
      <c r="P30" s="45">
        <v>-68876</v>
      </c>
      <c r="Q30" s="45">
        <v>0</v>
      </c>
      <c r="R30" s="45">
        <v>-563990</v>
      </c>
      <c r="S30" s="44">
        <f>SUM(O30:R30)</f>
        <v>-757387</v>
      </c>
      <c r="T30" s="45">
        <v>0</v>
      </c>
      <c r="U30" s="45">
        <v>0</v>
      </c>
      <c r="V30" s="45">
        <v>0</v>
      </c>
      <c r="W30" s="45">
        <v>0</v>
      </c>
      <c r="X30" s="44">
        <f>SUM(T30:W30)</f>
        <v>0</v>
      </c>
    </row>
    <row r="31" spans="1:24">
      <c r="A31" s="47"/>
      <c r="B31" s="46" t="s">
        <v>55</v>
      </c>
      <c r="C31" s="46"/>
      <c r="D31" s="46"/>
      <c r="E31" s="46"/>
      <c r="F31" s="46"/>
      <c r="H31" s="45">
        <v>0</v>
      </c>
      <c r="I31" s="45">
        <v>0</v>
      </c>
      <c r="J31" s="45">
        <v>0</v>
      </c>
      <c r="K31" s="45">
        <v>0</v>
      </c>
      <c r="L31" s="44"/>
      <c r="M31" s="44"/>
      <c r="N31" s="44">
        <v>0</v>
      </c>
      <c r="O31" s="45">
        <v>0</v>
      </c>
      <c r="P31" s="45">
        <v>0</v>
      </c>
      <c r="Q31" s="45">
        <v>0</v>
      </c>
      <c r="R31" s="45">
        <v>-911276</v>
      </c>
      <c r="S31" s="44">
        <f>SUM(O31:R31)</f>
        <v>-911276</v>
      </c>
      <c r="T31" s="45">
        <v>-201634</v>
      </c>
      <c r="U31" s="45">
        <v>-303228</v>
      </c>
      <c r="V31" s="45">
        <v>0</v>
      </c>
      <c r="W31" s="45">
        <v>0</v>
      </c>
      <c r="X31" s="44">
        <f>SUM(T31:W31)</f>
        <v>-504862</v>
      </c>
    </row>
    <row r="32" spans="1:24">
      <c r="A32" s="47"/>
      <c r="B32" s="46" t="s">
        <v>54</v>
      </c>
      <c r="C32" s="46"/>
      <c r="D32" s="46"/>
      <c r="E32" s="46"/>
      <c r="F32" s="46"/>
      <c r="H32" s="45"/>
      <c r="I32" s="45"/>
      <c r="J32" s="45"/>
      <c r="K32" s="45"/>
      <c r="L32" s="44"/>
      <c r="M32" s="44"/>
      <c r="N32" s="44">
        <v>0</v>
      </c>
      <c r="O32" s="45"/>
      <c r="P32" s="45"/>
      <c r="Q32" s="45"/>
      <c r="R32" s="45"/>
      <c r="S32" s="44">
        <f>SUM(O32:R32)</f>
        <v>0</v>
      </c>
      <c r="T32" s="45"/>
      <c r="U32" s="45">
        <v>501937</v>
      </c>
      <c r="V32" s="45">
        <v>400000</v>
      </c>
      <c r="W32" s="45">
        <v>493228</v>
      </c>
      <c r="X32" s="44">
        <f>SUM(T32:W32)</f>
        <v>1395165</v>
      </c>
    </row>
    <row r="33" spans="1:24">
      <c r="A33" s="57"/>
      <c r="B33" s="46"/>
      <c r="C33" s="46"/>
      <c r="D33" s="46"/>
      <c r="E33" s="46"/>
      <c r="F33" s="46"/>
      <c r="G33" s="46" t="s">
        <v>53</v>
      </c>
      <c r="H33" s="60">
        <f>SUM(H28:H32)</f>
        <v>-85616</v>
      </c>
      <c r="I33" s="60">
        <f>SUM(I28:I32)</f>
        <v>-111278</v>
      </c>
      <c r="J33" s="60">
        <f>SUM(J28:J32)</f>
        <v>-188631</v>
      </c>
      <c r="K33" s="60">
        <f>SUM(K28:K32)</f>
        <v>-954328</v>
      </c>
      <c r="L33" s="59">
        <v>-387064</v>
      </c>
      <c r="M33" s="59">
        <v>-505354</v>
      </c>
      <c r="N33" s="59">
        <f t="shared" ref="N33:X33" si="4">SUM(N28:N32)</f>
        <v>-1339853</v>
      </c>
      <c r="O33" s="60">
        <f t="shared" si="4"/>
        <v>-245679</v>
      </c>
      <c r="P33" s="60">
        <f t="shared" si="4"/>
        <v>-158894</v>
      </c>
      <c r="Q33" s="60">
        <f t="shared" si="4"/>
        <v>-84960</v>
      </c>
      <c r="R33" s="60">
        <f t="shared" si="4"/>
        <v>-1586859</v>
      </c>
      <c r="S33" s="59">
        <f t="shared" si="4"/>
        <v>-2076392</v>
      </c>
      <c r="T33" s="60">
        <f t="shared" si="4"/>
        <v>-263653</v>
      </c>
      <c r="U33" s="60">
        <f t="shared" si="4"/>
        <v>97737</v>
      </c>
      <c r="V33" s="60">
        <f t="shared" si="4"/>
        <v>296071</v>
      </c>
      <c r="W33" s="60">
        <f t="shared" si="4"/>
        <v>411596</v>
      </c>
      <c r="X33" s="59">
        <f t="shared" si="4"/>
        <v>541751</v>
      </c>
    </row>
    <row r="34" spans="1:24">
      <c r="A34" s="61" t="s">
        <v>52</v>
      </c>
      <c r="B34" s="46"/>
      <c r="C34" s="46"/>
      <c r="D34" s="46"/>
      <c r="E34" s="46"/>
      <c r="F34" s="46"/>
      <c r="L34" s="44"/>
      <c r="M34" s="44"/>
      <c r="N34" s="44"/>
      <c r="S34" s="44"/>
      <c r="X34" s="44"/>
    </row>
    <row r="35" spans="1:24" hidden="1">
      <c r="A35" s="58"/>
      <c r="B35" s="46" t="s">
        <v>51</v>
      </c>
      <c r="C35" s="46"/>
      <c r="D35" s="46"/>
      <c r="E35" s="46"/>
      <c r="F35" s="46"/>
      <c r="H35" s="45">
        <v>0</v>
      </c>
      <c r="I35" s="45">
        <v>0</v>
      </c>
      <c r="J35" s="45">
        <v>0</v>
      </c>
      <c r="K35" s="45">
        <v>0</v>
      </c>
      <c r="L35" s="44"/>
      <c r="M35" s="44"/>
      <c r="N35" s="44">
        <f t="shared" ref="N35:N41" si="5">SUM(H35:K35)</f>
        <v>0</v>
      </c>
      <c r="O35" s="45">
        <v>0</v>
      </c>
      <c r="P35" s="45">
        <v>0</v>
      </c>
      <c r="Q35" s="45">
        <v>0</v>
      </c>
      <c r="R35" s="45">
        <v>0</v>
      </c>
      <c r="S35" s="44">
        <f t="shared" ref="S35:S41" si="6">SUM(O35:R35)</f>
        <v>0</v>
      </c>
      <c r="T35" s="45">
        <v>0</v>
      </c>
      <c r="U35" s="45"/>
      <c r="V35" s="45"/>
      <c r="W35" s="45"/>
      <c r="X35" s="44">
        <v>0</v>
      </c>
    </row>
    <row r="36" spans="1:24" hidden="1">
      <c r="A36" s="58"/>
      <c r="B36" s="46" t="s">
        <v>50</v>
      </c>
      <c r="C36" s="46"/>
      <c r="D36" s="46"/>
      <c r="E36" s="46"/>
      <c r="F36" s="46"/>
      <c r="H36" s="45">
        <v>0</v>
      </c>
      <c r="I36" s="45">
        <v>0</v>
      </c>
      <c r="J36" s="45">
        <v>0</v>
      </c>
      <c r="K36" s="45">
        <v>0</v>
      </c>
      <c r="L36" s="44"/>
      <c r="M36" s="44"/>
      <c r="N36" s="44">
        <f t="shared" si="5"/>
        <v>0</v>
      </c>
      <c r="O36" s="45">
        <v>0</v>
      </c>
      <c r="P36" s="45">
        <v>0</v>
      </c>
      <c r="Q36" s="45">
        <v>0</v>
      </c>
      <c r="R36" s="45">
        <v>0</v>
      </c>
      <c r="S36" s="44">
        <f t="shared" si="6"/>
        <v>0</v>
      </c>
      <c r="T36" s="45">
        <v>0</v>
      </c>
      <c r="U36" s="45"/>
      <c r="V36" s="45"/>
      <c r="W36" s="45"/>
      <c r="X36" s="44">
        <v>0</v>
      </c>
    </row>
    <row r="37" spans="1:24">
      <c r="A37" s="58"/>
      <c r="B37" s="46" t="s">
        <v>49</v>
      </c>
      <c r="C37" s="46"/>
      <c r="D37" s="46"/>
      <c r="E37" s="46"/>
      <c r="F37" s="46"/>
      <c r="H37" s="45">
        <v>-500000</v>
      </c>
      <c r="I37" s="45">
        <v>0</v>
      </c>
      <c r="J37" s="45">
        <v>0</v>
      </c>
      <c r="K37" s="45">
        <v>0</v>
      </c>
      <c r="L37" s="44">
        <v>0</v>
      </c>
      <c r="M37" s="44">
        <v>0</v>
      </c>
      <c r="N37" s="44">
        <f t="shared" si="5"/>
        <v>-500000</v>
      </c>
      <c r="O37" s="45">
        <v>-700000</v>
      </c>
      <c r="P37" s="45">
        <v>0</v>
      </c>
      <c r="Q37" s="45">
        <v>0</v>
      </c>
      <c r="R37" s="45">
        <v>0</v>
      </c>
      <c r="S37" s="44">
        <f t="shared" si="6"/>
        <v>-700000</v>
      </c>
      <c r="T37" s="45">
        <v>0</v>
      </c>
      <c r="U37" s="45">
        <v>0</v>
      </c>
      <c r="V37" s="45">
        <v>0</v>
      </c>
      <c r="W37" s="45">
        <v>0</v>
      </c>
      <c r="X37" s="44">
        <f>SUM(T37:W37)</f>
        <v>0</v>
      </c>
    </row>
    <row r="38" spans="1:24">
      <c r="A38" s="58"/>
      <c r="B38" s="46" t="s">
        <v>48</v>
      </c>
      <c r="C38" s="46"/>
      <c r="D38" s="46"/>
      <c r="E38" s="46"/>
      <c r="F38" s="46"/>
      <c r="H38" s="45">
        <v>48071</v>
      </c>
      <c r="I38" s="45">
        <v>19749</v>
      </c>
      <c r="J38" s="45">
        <v>18445</v>
      </c>
      <c r="K38" s="45">
        <v>88149</v>
      </c>
      <c r="L38" s="44">
        <v>72490</v>
      </c>
      <c r="M38" s="44">
        <v>235406</v>
      </c>
      <c r="N38" s="44">
        <f t="shared" si="5"/>
        <v>174414</v>
      </c>
      <c r="O38" s="45">
        <v>13678</v>
      </c>
      <c r="P38" s="45">
        <v>11250</v>
      </c>
      <c r="Q38" s="45">
        <v>4113</v>
      </c>
      <c r="R38" s="45">
        <v>6705</v>
      </c>
      <c r="S38" s="44">
        <f t="shared" si="6"/>
        <v>35746</v>
      </c>
      <c r="T38" s="45">
        <v>26028</v>
      </c>
      <c r="U38" s="45">
        <v>34717</v>
      </c>
      <c r="V38" s="45">
        <v>57818</v>
      </c>
      <c r="W38" s="45">
        <v>51427</v>
      </c>
      <c r="X38" s="44">
        <f>SUM(T38:W38)</f>
        <v>169990</v>
      </c>
    </row>
    <row r="39" spans="1:24">
      <c r="A39" s="58"/>
      <c r="B39" s="46" t="s">
        <v>47</v>
      </c>
      <c r="C39" s="46"/>
      <c r="D39" s="46"/>
      <c r="E39" s="46"/>
      <c r="F39" s="46"/>
      <c r="H39" s="45">
        <v>0</v>
      </c>
      <c r="I39" s="45">
        <v>-500022</v>
      </c>
      <c r="J39" s="45">
        <v>-100000</v>
      </c>
      <c r="K39" s="45">
        <v>0</v>
      </c>
      <c r="L39" s="44">
        <v>0</v>
      </c>
      <c r="M39" s="44">
        <v>0</v>
      </c>
      <c r="N39" s="44">
        <f t="shared" si="5"/>
        <v>-600022</v>
      </c>
      <c r="O39" s="45">
        <v>0</v>
      </c>
      <c r="P39" s="45">
        <v>0</v>
      </c>
      <c r="Q39" s="45">
        <v>0</v>
      </c>
      <c r="R39" s="45">
        <v>0</v>
      </c>
      <c r="S39" s="44">
        <f t="shared" si="6"/>
        <v>0</v>
      </c>
      <c r="T39" s="45">
        <v>-400101</v>
      </c>
      <c r="U39" s="45">
        <v>-645146</v>
      </c>
      <c r="V39" s="45">
        <v>-2500100</v>
      </c>
      <c r="W39" s="45">
        <v>-2500000</v>
      </c>
      <c r="X39" s="44">
        <f>SUM(T39:W39)</f>
        <v>-6045347</v>
      </c>
    </row>
    <row r="40" spans="1:24">
      <c r="A40" s="58"/>
      <c r="B40" s="46" t="s">
        <v>46</v>
      </c>
      <c r="C40" s="46"/>
      <c r="D40" s="46"/>
      <c r="E40" s="46"/>
      <c r="F40" s="46"/>
      <c r="H40" s="45">
        <v>0</v>
      </c>
      <c r="I40" s="45">
        <v>0</v>
      </c>
      <c r="J40" s="45">
        <v>0</v>
      </c>
      <c r="K40" s="45">
        <v>-224168</v>
      </c>
      <c r="L40" s="44">
        <v>0</v>
      </c>
      <c r="M40" s="44">
        <v>0</v>
      </c>
      <c r="N40" s="44">
        <f t="shared" si="5"/>
        <v>-224168</v>
      </c>
      <c r="O40" s="45">
        <v>0</v>
      </c>
      <c r="P40" s="45">
        <v>0</v>
      </c>
      <c r="Q40" s="45">
        <v>0</v>
      </c>
      <c r="R40" s="45">
        <v>0</v>
      </c>
      <c r="S40" s="44">
        <f t="shared" si="6"/>
        <v>0</v>
      </c>
      <c r="T40" s="45">
        <v>0</v>
      </c>
      <c r="U40" s="45">
        <v>0</v>
      </c>
      <c r="V40" s="45">
        <v>0</v>
      </c>
      <c r="W40" s="45">
        <v>0</v>
      </c>
      <c r="X40" s="44">
        <f>SUM(T40:W40)</f>
        <v>0</v>
      </c>
    </row>
    <row r="41" spans="1:24">
      <c r="A41" s="58"/>
      <c r="B41" s="46" t="s">
        <v>45</v>
      </c>
      <c r="C41" s="46"/>
      <c r="D41" s="46"/>
      <c r="E41" s="46"/>
      <c r="F41" s="46"/>
      <c r="H41" s="45">
        <v>0</v>
      </c>
      <c r="I41" s="45">
        <v>0</v>
      </c>
      <c r="J41" s="45">
        <v>0</v>
      </c>
      <c r="K41" s="45">
        <v>0</v>
      </c>
      <c r="L41" s="44"/>
      <c r="M41" s="44"/>
      <c r="N41" s="44">
        <f t="shared" si="5"/>
        <v>0</v>
      </c>
      <c r="O41" s="45">
        <v>0</v>
      </c>
      <c r="P41" s="45">
        <v>0</v>
      </c>
      <c r="Q41" s="45">
        <v>0</v>
      </c>
      <c r="R41" s="45">
        <v>0</v>
      </c>
      <c r="S41" s="44">
        <f t="shared" si="6"/>
        <v>0</v>
      </c>
      <c r="T41" s="45">
        <v>0</v>
      </c>
      <c r="U41" s="45">
        <v>-38920</v>
      </c>
      <c r="V41" s="45">
        <v>-32826</v>
      </c>
      <c r="W41" s="45">
        <v>-3700</v>
      </c>
      <c r="X41" s="44">
        <f>SUM(T41:W41)</f>
        <v>-75446</v>
      </c>
    </row>
    <row r="42" spans="1:24">
      <c r="A42" s="58"/>
      <c r="B42" s="46"/>
      <c r="C42" s="46"/>
      <c r="D42" s="46"/>
      <c r="E42" s="46"/>
      <c r="F42" s="46"/>
      <c r="G42" s="46" t="s">
        <v>44</v>
      </c>
      <c r="H42" s="60">
        <f>SUM(H35:H41)</f>
        <v>-451929</v>
      </c>
      <c r="I42" s="60">
        <f>SUM(I35:I41)</f>
        <v>-480273</v>
      </c>
      <c r="J42" s="60">
        <f>SUM(J35:J41)</f>
        <v>-81555</v>
      </c>
      <c r="K42" s="60">
        <f>SUM(K35:K41)</f>
        <v>-136019</v>
      </c>
      <c r="L42" s="59">
        <v>4505662</v>
      </c>
      <c r="M42" s="59">
        <v>1237311</v>
      </c>
      <c r="N42" s="59">
        <f t="shared" ref="N42:S42" si="7">SUM(N35:N41)</f>
        <v>-1149776</v>
      </c>
      <c r="O42" s="60">
        <f t="shared" si="7"/>
        <v>-686322</v>
      </c>
      <c r="P42" s="60">
        <f t="shared" si="7"/>
        <v>11250</v>
      </c>
      <c r="Q42" s="60">
        <f t="shared" si="7"/>
        <v>4113</v>
      </c>
      <c r="R42" s="60">
        <f t="shared" si="7"/>
        <v>6705</v>
      </c>
      <c r="S42" s="59">
        <f t="shared" si="7"/>
        <v>-664254</v>
      </c>
      <c r="T42" s="60">
        <f>SUM(T37:T41)</f>
        <v>-374073</v>
      </c>
      <c r="U42" s="60">
        <f>SUM(U37:U41)</f>
        <v>-649349</v>
      </c>
      <c r="V42" s="60">
        <f>SUM(V37:V41)</f>
        <v>-2475108</v>
      </c>
      <c r="W42" s="60">
        <f>SUM(W37:W41)</f>
        <v>-2452273</v>
      </c>
      <c r="X42" s="59">
        <f>SUM(X35:X41)</f>
        <v>-5950803</v>
      </c>
    </row>
    <row r="43" spans="1:24">
      <c r="A43" s="58"/>
      <c r="B43" s="46"/>
      <c r="C43" s="46"/>
      <c r="D43" s="46"/>
      <c r="E43" s="46"/>
      <c r="F43" s="46"/>
      <c r="G43" s="46"/>
      <c r="H43" s="57"/>
      <c r="I43" s="57"/>
      <c r="J43" s="57"/>
      <c r="K43" s="57"/>
      <c r="L43" s="44"/>
      <c r="M43" s="44"/>
      <c r="N43" s="44"/>
      <c r="O43" s="57"/>
      <c r="P43" s="57"/>
      <c r="Q43" s="57"/>
      <c r="R43" s="57"/>
      <c r="S43" s="44"/>
      <c r="T43" s="57"/>
      <c r="U43" s="57"/>
      <c r="V43" s="57"/>
      <c r="W43" s="57"/>
      <c r="X43" s="44"/>
    </row>
    <row r="44" spans="1:24">
      <c r="A44" s="58" t="s">
        <v>43</v>
      </c>
      <c r="B44" s="46"/>
      <c r="C44" s="46"/>
      <c r="D44" s="46"/>
      <c r="E44" s="46"/>
      <c r="F44" s="46"/>
      <c r="G44" s="46"/>
      <c r="H44" s="57">
        <v>-42138</v>
      </c>
      <c r="I44" s="57">
        <v>23477</v>
      </c>
      <c r="J44" s="57">
        <v>-63843</v>
      </c>
      <c r="K44" s="57">
        <v>-4236</v>
      </c>
      <c r="L44" s="44">
        <v>469</v>
      </c>
      <c r="M44" s="44">
        <v>36050</v>
      </c>
      <c r="N44" s="44">
        <f>SUM(H44:K44)</f>
        <v>-86740</v>
      </c>
      <c r="O44" s="57">
        <v>-11448</v>
      </c>
      <c r="P44" s="57">
        <v>-145198</v>
      </c>
      <c r="Q44" s="57">
        <v>-180058</v>
      </c>
      <c r="R44" s="57">
        <v>166564</v>
      </c>
      <c r="S44" s="44">
        <f>SUM(O44:R44)</f>
        <v>-170140</v>
      </c>
      <c r="T44" s="57">
        <v>26423</v>
      </c>
      <c r="U44" s="57">
        <v>39626</v>
      </c>
      <c r="V44" s="57">
        <v>-122707</v>
      </c>
      <c r="W44" s="57">
        <v>139342</v>
      </c>
      <c r="X44" s="44">
        <f>SUM(T44:W44)</f>
        <v>82684</v>
      </c>
    </row>
    <row r="45" spans="1:24">
      <c r="A45" s="58" t="s">
        <v>42</v>
      </c>
      <c r="B45" s="46"/>
      <c r="C45" s="46"/>
      <c r="D45" s="46"/>
      <c r="E45" s="46"/>
      <c r="F45" s="46"/>
      <c r="H45" s="57">
        <v>197583</v>
      </c>
      <c r="I45" s="57">
        <v>-631835</v>
      </c>
      <c r="J45" s="57">
        <v>-251650</v>
      </c>
      <c r="K45" s="57">
        <v>-1497857</v>
      </c>
      <c r="L45" s="44">
        <v>1231745</v>
      </c>
      <c r="M45" s="44">
        <v>3195084</v>
      </c>
      <c r="N45" s="44">
        <f>SUM(H45:K45)</f>
        <v>-2183759</v>
      </c>
      <c r="O45" s="57">
        <v>-20610</v>
      </c>
      <c r="P45" s="57">
        <v>-190092</v>
      </c>
      <c r="Q45" s="57">
        <v>295905</v>
      </c>
      <c r="R45" s="57">
        <v>-969732</v>
      </c>
      <c r="S45" s="44">
        <f>SUM(O45:R45)</f>
        <v>-884529</v>
      </c>
      <c r="T45" s="57">
        <v>1567437</v>
      </c>
      <c r="U45" s="57">
        <v>928246</v>
      </c>
      <c r="V45" s="57">
        <v>-309429</v>
      </c>
      <c r="W45" s="57">
        <v>-238321</v>
      </c>
      <c r="X45" s="44">
        <f>SUM(T45:W45)</f>
        <v>1947933</v>
      </c>
    </row>
    <row r="46" spans="1:24">
      <c r="A46" s="58" t="s">
        <v>41</v>
      </c>
      <c r="B46" s="46"/>
      <c r="C46" s="46"/>
      <c r="D46" s="46"/>
      <c r="E46" s="46"/>
      <c r="F46" s="46"/>
      <c r="H46" s="57">
        <v>8238870</v>
      </c>
      <c r="I46" s="57">
        <v>8436453</v>
      </c>
      <c r="J46" s="57">
        <v>7804618</v>
      </c>
      <c r="K46" s="57">
        <v>7552968</v>
      </c>
      <c r="L46" s="44">
        <v>3812041</v>
      </c>
      <c r="M46" s="44">
        <v>5043786</v>
      </c>
      <c r="N46" s="44">
        <v>8238870</v>
      </c>
      <c r="O46" s="57">
        <v>6055111</v>
      </c>
      <c r="P46" s="57">
        <v>6034501</v>
      </c>
      <c r="Q46" s="57">
        <v>5844409</v>
      </c>
      <c r="R46" s="57">
        <v>6140314</v>
      </c>
      <c r="S46" s="44">
        <v>6055111</v>
      </c>
      <c r="T46" s="57">
        <v>5170582</v>
      </c>
      <c r="U46" s="57">
        <v>6738019</v>
      </c>
      <c r="V46" s="57">
        <v>7666265</v>
      </c>
      <c r="W46" s="57">
        <v>7356836</v>
      </c>
      <c r="X46" s="44">
        <v>5170582</v>
      </c>
    </row>
    <row r="47" spans="1:24" ht="15" thickBot="1">
      <c r="A47" s="56" t="s">
        <v>40</v>
      </c>
      <c r="B47" s="46"/>
      <c r="C47" s="46"/>
      <c r="D47" s="46"/>
      <c r="E47" s="46"/>
      <c r="F47" s="46"/>
      <c r="H47" s="55">
        <f>SUM(H45:H46)</f>
        <v>8436453</v>
      </c>
      <c r="I47" s="55">
        <f>SUM(I45:I46)</f>
        <v>7804618</v>
      </c>
      <c r="J47" s="55">
        <f>SUM(J45:J46)</f>
        <v>7552968</v>
      </c>
      <c r="K47" s="55">
        <f>SUM(K45:K46)</f>
        <v>6055111</v>
      </c>
      <c r="L47" s="54">
        <v>5043786</v>
      </c>
      <c r="M47" s="54">
        <v>8238870</v>
      </c>
      <c r="N47" s="54">
        <f>SUM(N45:N46)</f>
        <v>6055111</v>
      </c>
      <c r="O47" s="55">
        <v>6034501</v>
      </c>
      <c r="P47" s="55">
        <f t="shared" ref="P47:X47" si="8">SUM(P45:P46)</f>
        <v>5844409</v>
      </c>
      <c r="Q47" s="55">
        <f t="shared" si="8"/>
        <v>6140314</v>
      </c>
      <c r="R47" s="55">
        <f t="shared" si="8"/>
        <v>5170582</v>
      </c>
      <c r="S47" s="54">
        <f t="shared" si="8"/>
        <v>5170582</v>
      </c>
      <c r="T47" s="55">
        <f t="shared" si="8"/>
        <v>6738019</v>
      </c>
      <c r="U47" s="55">
        <f t="shared" si="8"/>
        <v>7666265</v>
      </c>
      <c r="V47" s="55">
        <f t="shared" si="8"/>
        <v>7356836</v>
      </c>
      <c r="W47" s="55">
        <f t="shared" si="8"/>
        <v>7118515</v>
      </c>
      <c r="X47" s="54">
        <f t="shared" si="8"/>
        <v>7118515</v>
      </c>
    </row>
    <row r="48" spans="1:24">
      <c r="A48" s="53"/>
      <c r="B48" s="46"/>
      <c r="C48" s="46"/>
      <c r="D48" s="46"/>
      <c r="E48" s="46"/>
      <c r="F48" s="46"/>
      <c r="L48" s="44"/>
      <c r="M48" s="44"/>
      <c r="N48" s="44"/>
      <c r="S48" s="44"/>
      <c r="X48" s="44"/>
    </row>
    <row r="49" spans="1:24">
      <c r="A49" s="52" t="s">
        <v>39</v>
      </c>
      <c r="B49" s="8"/>
      <c r="C49" s="8"/>
      <c r="D49" s="46"/>
      <c r="E49" s="46"/>
      <c r="F49" s="46"/>
      <c r="L49" s="51"/>
      <c r="M49" s="51"/>
      <c r="N49" s="51"/>
      <c r="S49" s="51"/>
      <c r="X49" s="51"/>
    </row>
    <row r="50" spans="1:24">
      <c r="A50" s="50"/>
      <c r="B50" s="46" t="s">
        <v>38</v>
      </c>
      <c r="C50" s="8"/>
      <c r="D50" s="46"/>
      <c r="E50" s="46"/>
      <c r="F50" s="46"/>
      <c r="H50" s="49">
        <f>H26</f>
        <v>777266</v>
      </c>
      <c r="I50" s="49">
        <f>I26</f>
        <v>-63761</v>
      </c>
      <c r="J50" s="49">
        <f>J26</f>
        <v>82379</v>
      </c>
      <c r="K50" s="49">
        <f>K26</f>
        <v>-403274</v>
      </c>
      <c r="L50" s="48">
        <v>-2887322</v>
      </c>
      <c r="M50" s="48">
        <v>2427077</v>
      </c>
      <c r="N50" s="48">
        <f>SUM(H50:K50)</f>
        <v>392610</v>
      </c>
      <c r="O50" s="49">
        <v>922839</v>
      </c>
      <c r="P50" s="49">
        <v>102750</v>
      </c>
      <c r="Q50" s="49">
        <v>556810</v>
      </c>
      <c r="R50" s="49">
        <v>443858</v>
      </c>
      <c r="S50" s="48">
        <f>SUM(O50:R50)</f>
        <v>2026257</v>
      </c>
      <c r="T50" s="49">
        <v>2178740</v>
      </c>
      <c r="U50" s="49">
        <v>1440232</v>
      </c>
      <c r="V50" s="49">
        <v>1992315</v>
      </c>
      <c r="W50" s="49">
        <v>1663014</v>
      </c>
      <c r="X50" s="48">
        <f>SUM(T50:W50)</f>
        <v>7274301</v>
      </c>
    </row>
    <row r="51" spans="1:24">
      <c r="A51" s="47"/>
      <c r="B51" s="46" t="s">
        <v>37</v>
      </c>
      <c r="C51" s="46"/>
      <c r="D51" s="46"/>
      <c r="E51" s="46"/>
      <c r="F51" s="46"/>
      <c r="H51" s="45">
        <f t="shared" ref="H51:K52" si="9">H28</f>
        <v>-81001</v>
      </c>
      <c r="I51" s="45">
        <f t="shared" si="9"/>
        <v>-110278</v>
      </c>
      <c r="J51" s="45">
        <f t="shared" si="9"/>
        <v>-167327</v>
      </c>
      <c r="K51" s="45">
        <f t="shared" si="9"/>
        <v>-165979</v>
      </c>
      <c r="L51" s="44">
        <v>-253035</v>
      </c>
      <c r="M51" s="44">
        <v>-497923</v>
      </c>
      <c r="N51" s="44">
        <f>SUM(H51:K51)</f>
        <v>-524585</v>
      </c>
      <c r="O51" s="45">
        <v>-121158</v>
      </c>
      <c r="P51" s="45">
        <v>-90018</v>
      </c>
      <c r="Q51" s="45">
        <v>-84960</v>
      </c>
      <c r="R51" s="45">
        <v>-111593</v>
      </c>
      <c r="S51" s="44">
        <f>SUM(O51:R51)</f>
        <v>-407729</v>
      </c>
      <c r="T51" s="45">
        <v>-62019</v>
      </c>
      <c r="U51" s="45">
        <v>-100972</v>
      </c>
      <c r="V51" s="45">
        <v>-103929</v>
      </c>
      <c r="W51" s="45">
        <v>-81632</v>
      </c>
      <c r="X51" s="44">
        <f>SUM(T51:W51)</f>
        <v>-348552</v>
      </c>
    </row>
    <row r="52" spans="1:24">
      <c r="A52" s="47"/>
      <c r="B52" s="46" t="s">
        <v>36</v>
      </c>
      <c r="C52" s="46"/>
      <c r="D52" s="46"/>
      <c r="E52" s="46"/>
      <c r="F52" s="46"/>
      <c r="H52" s="45">
        <f t="shared" si="9"/>
        <v>-4615</v>
      </c>
      <c r="I52" s="45">
        <f t="shared" si="9"/>
        <v>-1000</v>
      </c>
      <c r="J52" s="45">
        <f t="shared" si="9"/>
        <v>-21304</v>
      </c>
      <c r="K52" s="45">
        <f t="shared" si="9"/>
        <v>0</v>
      </c>
      <c r="L52" s="44">
        <v>-134029</v>
      </c>
      <c r="M52" s="44">
        <v>-7431</v>
      </c>
      <c r="N52" s="44">
        <f>SUM(H52:K52)</f>
        <v>-26919</v>
      </c>
      <c r="O52" s="45">
        <v>0</v>
      </c>
      <c r="P52" s="45">
        <v>0</v>
      </c>
      <c r="Q52" s="45">
        <v>0</v>
      </c>
      <c r="R52" s="45">
        <v>0</v>
      </c>
      <c r="S52" s="44">
        <f>SUM(O52:R52)</f>
        <v>0</v>
      </c>
      <c r="T52" s="45">
        <v>0</v>
      </c>
      <c r="U52" s="45">
        <v>0</v>
      </c>
      <c r="V52" s="45">
        <v>0</v>
      </c>
      <c r="W52" s="45">
        <v>0</v>
      </c>
      <c r="X52" s="44">
        <f>SUM(T52:W52)</f>
        <v>0</v>
      </c>
    </row>
    <row r="53" spans="1:24" ht="15" thickBot="1">
      <c r="A53" s="43"/>
      <c r="B53" s="42" t="s">
        <v>35</v>
      </c>
      <c r="C53" s="41"/>
      <c r="D53" s="41"/>
      <c r="E53" s="41"/>
      <c r="F53" s="41"/>
      <c r="H53" s="40">
        <f t="shared" ref="H53:N53" si="10">SUM(H50:H52)</f>
        <v>691650</v>
      </c>
      <c r="I53" s="40">
        <f t="shared" si="10"/>
        <v>-175039</v>
      </c>
      <c r="J53" s="40">
        <f t="shared" si="10"/>
        <v>-106252</v>
      </c>
      <c r="K53" s="40">
        <f t="shared" si="10"/>
        <v>-569253</v>
      </c>
      <c r="L53" s="39">
        <f t="shared" si="10"/>
        <v>-3274386</v>
      </c>
      <c r="M53" s="39">
        <f t="shared" si="10"/>
        <v>1921723</v>
      </c>
      <c r="N53" s="39">
        <f t="shared" si="10"/>
        <v>-158894</v>
      </c>
      <c r="O53" s="40">
        <v>801681</v>
      </c>
      <c r="P53" s="40">
        <f t="shared" ref="P53:X53" si="11">SUM(P50:P52)</f>
        <v>12732</v>
      </c>
      <c r="Q53" s="40">
        <f t="shared" si="11"/>
        <v>471850</v>
      </c>
      <c r="R53" s="40">
        <f t="shared" si="11"/>
        <v>332265</v>
      </c>
      <c r="S53" s="39">
        <f t="shared" si="11"/>
        <v>1618528</v>
      </c>
      <c r="T53" s="40">
        <f t="shared" si="11"/>
        <v>2116721</v>
      </c>
      <c r="U53" s="40">
        <f t="shared" si="11"/>
        <v>1339260</v>
      </c>
      <c r="V53" s="40">
        <f t="shared" si="11"/>
        <v>1888386</v>
      </c>
      <c r="W53" s="40">
        <f t="shared" si="11"/>
        <v>1581382</v>
      </c>
      <c r="X53" s="39">
        <f t="shared" si="11"/>
        <v>6925749</v>
      </c>
    </row>
  </sheetData>
  <mergeCells count="3">
    <mergeCell ref="H5:K5"/>
    <mergeCell ref="O5:R5"/>
    <mergeCell ref="T5:W5"/>
  </mergeCells>
  <pageMargins left="0.17" right="0.17" top="0.28000000000000003" bottom="0.75" header="0.17" footer="0.3"/>
  <pageSetup scale="78"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Assumptions</vt:lpstr>
      <vt:lpstr>CDF</vt:lpstr>
      <vt:lpstr>Income Statement</vt:lpstr>
      <vt:lpstr>Cashflow</vt:lpstr>
      <vt:lpstr>Cashflow!Print_Area</vt:lpstr>
      <vt:lpstr>'Income Statement'!Print_Area</vt:lpstr>
      <vt:lpstr>trg</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Jakub Riha</dc:creator>
  <cp:lastModifiedBy>Jakub Říha</cp:lastModifiedBy>
  <dcterms:created xsi:type="dcterms:W3CDTF">2024-02-02T03:40:20Z</dcterms:created>
  <dcterms:modified xsi:type="dcterms:W3CDTF">2025-07-19T03:45:38Z</dcterms:modified>
</cp:coreProperties>
</file>